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DieseArbeitsmappe" defaultThemeVersion="166925"/>
  <xr:revisionPtr revIDLastSave="0" documentId="13_ncr:1_{27DCD1BF-CD29-425C-9689-3814D3CAEB52}" xr6:coauthVersionLast="47" xr6:coauthVersionMax="47" xr10:uidLastSave="{00000000-0000-0000-0000-000000000000}"/>
  <bookViews>
    <workbookView xWindow="22932" yWindow="-108" windowWidth="23256" windowHeight="12456" xr2:uid="{BC732120-1280-498F-9EB2-4B3317CACBBF}"/>
  </bookViews>
  <sheets>
    <sheet name="README" sheetId="7" r:id="rId1"/>
    <sheet name="Explanatory notes" sheetId="6" r:id="rId2"/>
    <sheet name="Boundary conditions" sheetId="9" r:id="rId3"/>
    <sheet name="RES Alternatives" sheetId="8" r:id="rId4"/>
    <sheet name="HelpSheet" sheetId="5"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8" l="1"/>
  <c r="F7" i="8"/>
  <c r="G7" i="8" s="1"/>
  <c r="H7" i="8" s="1"/>
  <c r="I7" i="8" s="1"/>
  <c r="J7" i="8" s="1"/>
  <c r="K7" i="8" s="1"/>
  <c r="L7" i="8" s="1"/>
  <c r="D7" i="8"/>
  <c r="C82" i="8"/>
  <c r="C69" i="8" s="1"/>
  <c r="C71" i="8"/>
  <c r="D54" i="8" l="1"/>
  <c r="E54" i="8"/>
  <c r="F54" i="8"/>
  <c r="G54" i="8"/>
  <c r="H54" i="8"/>
  <c r="I54" i="8"/>
  <c r="J54" i="8"/>
  <c r="K54" i="8"/>
  <c r="L54" i="8"/>
  <c r="D55" i="8"/>
  <c r="E55" i="8"/>
  <c r="F55" i="8"/>
  <c r="G55" i="8"/>
  <c r="H55" i="8"/>
  <c r="I55" i="8"/>
  <c r="J55" i="8"/>
  <c r="K55" i="8"/>
  <c r="L55" i="8"/>
  <c r="D56" i="8"/>
  <c r="E56" i="8"/>
  <c r="F56" i="8"/>
  <c r="G56" i="8"/>
  <c r="H56" i="8"/>
  <c r="I56" i="8"/>
  <c r="J56" i="8"/>
  <c r="K56" i="8"/>
  <c r="L56" i="8"/>
  <c r="C56" i="8"/>
  <c r="C55" i="8"/>
  <c r="C54" i="8"/>
  <c r="D52" i="8"/>
  <c r="E52" i="8"/>
  <c r="F52" i="8"/>
  <c r="G52" i="8"/>
  <c r="J52" i="8"/>
  <c r="K52" i="8"/>
  <c r="C52" i="8"/>
  <c r="G51" i="8"/>
  <c r="L51" i="8"/>
  <c r="C51" i="8"/>
  <c r="D50" i="8"/>
  <c r="E50" i="8"/>
  <c r="F50" i="8"/>
  <c r="G50" i="8"/>
  <c r="H50" i="8"/>
  <c r="I50" i="8"/>
  <c r="J50" i="8"/>
  <c r="K50" i="8"/>
  <c r="L50" i="8"/>
  <c r="C50" i="8"/>
  <c r="G48" i="8"/>
  <c r="L48" i="8"/>
  <c r="C48" i="8"/>
  <c r="C47" i="8"/>
  <c r="C46" i="8"/>
  <c r="K4" i="5"/>
  <c r="E63" i="5"/>
  <c r="F63" i="5"/>
  <c r="G63" i="5"/>
  <c r="H63" i="5"/>
  <c r="I63" i="5"/>
  <c r="J63" i="5"/>
  <c r="K63" i="5"/>
  <c r="L63" i="5"/>
  <c r="M63" i="5"/>
  <c r="D63" i="5"/>
  <c r="D64" i="5" s="1"/>
  <c r="E56" i="5" a="1"/>
  <c r="E56" i="5" s="1"/>
  <c r="F56" i="5" a="1"/>
  <c r="F56" i="5" s="1"/>
  <c r="G56" i="5" a="1"/>
  <c r="G56" i="5" s="1"/>
  <c r="H56" i="5" a="1"/>
  <c r="H56" i="5" s="1"/>
  <c r="I56" i="5" a="1"/>
  <c r="I56" i="5" s="1"/>
  <c r="J56" i="5" a="1"/>
  <c r="J56" i="5" s="1"/>
  <c r="K56" i="5" a="1"/>
  <c r="K56" i="5" s="1"/>
  <c r="L56" i="5" a="1"/>
  <c r="L56" i="5" s="1"/>
  <c r="M56" i="5" a="1"/>
  <c r="M56" i="5" s="1"/>
  <c r="D56" i="5" a="1"/>
  <c r="D56" i="5" s="1"/>
  <c r="D80" i="8"/>
  <c r="E80" i="8"/>
  <c r="F80" i="8"/>
  <c r="G80" i="8"/>
  <c r="H80" i="8"/>
  <c r="I80" i="8"/>
  <c r="J80" i="8"/>
  <c r="K80" i="8"/>
  <c r="L80" i="8"/>
  <c r="C80" i="8"/>
  <c r="D21" i="8"/>
  <c r="E21" i="8"/>
  <c r="F21" i="8"/>
  <c r="G21" i="8"/>
  <c r="H21" i="8"/>
  <c r="I21" i="8"/>
  <c r="J21" i="8"/>
  <c r="K21" i="8"/>
  <c r="L21" i="8"/>
  <c r="C21" i="8"/>
  <c r="D45" i="9"/>
  <c r="F25" i="5"/>
  <c r="C57" i="8" l="1"/>
  <c r="D21" i="9"/>
  <c r="D39" i="9"/>
  <c r="D33" i="9"/>
  <c r="D27" i="9"/>
  <c r="D15" i="9"/>
  <c r="C41" i="5" s="1"/>
  <c r="D9" i="9"/>
  <c r="D39" i="5"/>
  <c r="D41" i="8"/>
  <c r="E41" i="8"/>
  <c r="F41" i="8"/>
  <c r="G41" i="8"/>
  <c r="H41" i="8"/>
  <c r="I41" i="8"/>
  <c r="J41" i="8"/>
  <c r="K41" i="8"/>
  <c r="L41" i="8"/>
  <c r="C41" i="8"/>
  <c r="D40" i="8"/>
  <c r="E40" i="8"/>
  <c r="F40" i="8"/>
  <c r="G40" i="8"/>
  <c r="H40" i="8"/>
  <c r="I40" i="8"/>
  <c r="J40" i="8"/>
  <c r="K40" i="8"/>
  <c r="L40" i="8"/>
  <c r="C40" i="8"/>
  <c r="D39" i="8"/>
  <c r="E39" i="8"/>
  <c r="F39" i="8"/>
  <c r="G39" i="8"/>
  <c r="H39" i="8"/>
  <c r="I39" i="8"/>
  <c r="J39" i="8"/>
  <c r="K39" i="8"/>
  <c r="L39" i="8"/>
  <c r="C39" i="8"/>
  <c r="D37" i="8"/>
  <c r="E37" i="8"/>
  <c r="E46" i="8" s="1"/>
  <c r="F37" i="8"/>
  <c r="F46" i="8" s="1"/>
  <c r="G37" i="8"/>
  <c r="G46" i="8" s="1"/>
  <c r="H37" i="8"/>
  <c r="H46" i="8" s="1"/>
  <c r="I37" i="8"/>
  <c r="I46" i="8" s="1"/>
  <c r="J37" i="8"/>
  <c r="K37" i="8"/>
  <c r="K46" i="8" s="1"/>
  <c r="L37" i="8"/>
  <c r="L46" i="8" s="1"/>
  <c r="C37" i="8"/>
  <c r="D36" i="8"/>
  <c r="E36" i="8"/>
  <c r="F36" i="8"/>
  <c r="G36" i="8"/>
  <c r="H36" i="8"/>
  <c r="I36" i="8"/>
  <c r="J36" i="8"/>
  <c r="K36" i="8"/>
  <c r="L36" i="8"/>
  <c r="C36" i="8"/>
  <c r="D35" i="8"/>
  <c r="E35" i="8"/>
  <c r="F35" i="8"/>
  <c r="G35" i="8"/>
  <c r="H35" i="8"/>
  <c r="I35" i="8"/>
  <c r="J35" i="8"/>
  <c r="K35" i="8"/>
  <c r="L35" i="8"/>
  <c r="C35" i="8"/>
  <c r="E38" i="8"/>
  <c r="F38" i="8"/>
  <c r="G38" i="8"/>
  <c r="H38" i="8"/>
  <c r="H47" i="8" s="1"/>
  <c r="I38" i="8"/>
  <c r="I47" i="8" s="1"/>
  <c r="J38" i="8"/>
  <c r="K38" i="8"/>
  <c r="L38" i="8"/>
  <c r="C38" i="8"/>
  <c r="D38" i="8"/>
  <c r="E51" i="8" l="1"/>
  <c r="I82" i="8"/>
  <c r="I69" i="8" s="1"/>
  <c r="I51" i="8"/>
  <c r="K51" i="8"/>
  <c r="H51" i="8"/>
  <c r="G82" i="8"/>
  <c r="G69" i="8" s="1"/>
  <c r="J82" i="8"/>
  <c r="J69" i="8" s="1"/>
  <c r="J51" i="8"/>
  <c r="F51" i="8"/>
  <c r="D51" i="8"/>
  <c r="K75" i="8"/>
  <c r="K83" i="8" s="1"/>
  <c r="E75" i="8"/>
  <c r="E83" i="8" s="1"/>
  <c r="I75" i="8"/>
  <c r="I83" i="8" s="1"/>
  <c r="H75" i="8"/>
  <c r="H83" i="8" s="1"/>
  <c r="G75" i="8"/>
  <c r="G83" i="8" s="1"/>
  <c r="F75" i="8"/>
  <c r="F83" i="8" s="1"/>
  <c r="J75" i="8"/>
  <c r="J83" i="8" s="1"/>
  <c r="D75" i="8"/>
  <c r="D83" i="8" s="1"/>
  <c r="C75" i="8"/>
  <c r="C83" i="8" s="1"/>
  <c r="L75" i="8"/>
  <c r="L83" i="8" s="1"/>
  <c r="D73" i="8"/>
  <c r="C73" i="8"/>
  <c r="K73" i="8"/>
  <c r="I73" i="8"/>
  <c r="G73" i="8"/>
  <c r="L73" i="8"/>
  <c r="L71" i="8" s="1"/>
  <c r="H73" i="8"/>
  <c r="H71" i="8" s="1"/>
  <c r="F73" i="8"/>
  <c r="F71" i="8" s="1"/>
  <c r="J73" i="8"/>
  <c r="J71" i="8" s="1"/>
  <c r="E73" i="8"/>
  <c r="K42" i="8"/>
  <c r="K82" i="8" s="1"/>
  <c r="K69" i="8" s="1"/>
  <c r="J42" i="8"/>
  <c r="J46" i="8" s="1"/>
  <c r="I42" i="8"/>
  <c r="H42" i="8"/>
  <c r="G42" i="8"/>
  <c r="G47" i="8" s="1"/>
  <c r="G57" i="8" s="1"/>
  <c r="F42" i="8"/>
  <c r="E42" i="8"/>
  <c r="E82" i="8" s="1"/>
  <c r="E69" i="8" s="1"/>
  <c r="L42" i="8"/>
  <c r="L82" i="8" s="1"/>
  <c r="L69" i="8" s="1"/>
  <c r="C42" i="8"/>
  <c r="H48" i="8" l="1"/>
  <c r="H52" i="8"/>
  <c r="I43" i="8"/>
  <c r="I48" i="8"/>
  <c r="I52" i="8"/>
  <c r="I57" i="8" s="1"/>
  <c r="H82" i="8"/>
  <c r="H69" i="8" s="1"/>
  <c r="F47" i="8"/>
  <c r="F57" i="8" s="1"/>
  <c r="F48" i="8"/>
  <c r="G71" i="8"/>
  <c r="J43" i="8"/>
  <c r="J48" i="8"/>
  <c r="K43" i="8"/>
  <c r="K48" i="8"/>
  <c r="K57" i="8" s="1"/>
  <c r="K71" i="8"/>
  <c r="F82" i="8"/>
  <c r="F69" i="8" s="1"/>
  <c r="E47" i="8"/>
  <c r="E57" i="8" s="1"/>
  <c r="E48" i="8"/>
  <c r="I71" i="8"/>
  <c r="L47" i="8"/>
  <c r="L52" i="8"/>
  <c r="E71" i="8"/>
  <c r="K47" i="8"/>
  <c r="J47" i="8"/>
  <c r="J57" i="8" s="1"/>
  <c r="L43" i="8"/>
  <c r="G43" i="8"/>
  <c r="E43" i="8"/>
  <c r="F43" i="8"/>
  <c r="H43" i="8"/>
  <c r="C43" i="8"/>
  <c r="L57" i="8" l="1"/>
  <c r="H57" i="8"/>
  <c r="D42" i="8"/>
  <c r="D48" i="8" l="1"/>
  <c r="D82" i="8"/>
  <c r="D69" i="8" s="1"/>
  <c r="D46" i="8"/>
  <c r="D71" i="8"/>
  <c r="D47" i="8"/>
  <c r="D43" i="8"/>
  <c r="D57" i="8" l="1"/>
  <c r="F109" i="5"/>
  <c r="G109" i="5"/>
  <c r="H109" i="5"/>
  <c r="I109" i="5"/>
  <c r="J109" i="5"/>
  <c r="K109" i="5"/>
  <c r="L109" i="5"/>
  <c r="M109" i="5"/>
  <c r="E109" i="5"/>
  <c r="D109" i="5"/>
  <c r="C56" i="5"/>
  <c r="H61" i="8"/>
  <c r="F61" i="8"/>
  <c r="J61" i="8" l="1"/>
  <c r="K61" i="8" l="1"/>
  <c r="I61" i="8"/>
  <c r="L61" i="8"/>
  <c r="M58" i="5" l="1"/>
  <c r="M66" i="5"/>
  <c r="M70" i="5" s="1"/>
  <c r="M64" i="5" l="1"/>
  <c r="E66" i="5" l="1"/>
  <c r="E70" i="5" s="1"/>
  <c r="E64" i="5"/>
  <c r="L58" i="5" l="1"/>
  <c r="L64" i="5"/>
  <c r="L66" i="5" l="1"/>
  <c r="L70" i="5" s="1"/>
  <c r="N4" i="5"/>
  <c r="D58" i="5" l="1"/>
  <c r="E58" i="5"/>
  <c r="F58" i="5"/>
  <c r="G58" i="5"/>
  <c r="H58" i="5"/>
  <c r="I58" i="5"/>
  <c r="J58" i="5"/>
  <c r="K58" i="5"/>
  <c r="D66" i="5" l="1"/>
  <c r="K64" i="5"/>
  <c r="K66" i="5"/>
  <c r="K70" i="5" s="1"/>
  <c r="F4" i="5"/>
  <c r="G4" i="5"/>
  <c r="H4" i="5"/>
  <c r="E4" i="5"/>
  <c r="F24" i="5" s="1"/>
  <c r="F26" i="5" s="1"/>
  <c r="L4" i="5"/>
  <c r="M4" i="5"/>
  <c r="J4" i="5"/>
  <c r="F30" i="5" s="1"/>
  <c r="F31" i="5" s="1"/>
  <c r="I6" i="5"/>
  <c r="I7" i="5"/>
  <c r="I8" i="5"/>
  <c r="I9" i="5"/>
  <c r="I10" i="5"/>
  <c r="I11" i="5"/>
  <c r="I12" i="5"/>
  <c r="I13" i="5"/>
  <c r="I14" i="5"/>
  <c r="I15" i="5"/>
  <c r="I16" i="5"/>
  <c r="I17" i="5"/>
  <c r="I18" i="5"/>
  <c r="I19" i="5"/>
  <c r="I20" i="5"/>
  <c r="I5" i="5"/>
  <c r="B89" i="8"/>
  <c r="B64" i="8"/>
  <c r="B69" i="8"/>
  <c r="B68" i="8"/>
  <c r="B88" i="8"/>
  <c r="B90" i="8"/>
  <c r="B85" i="8"/>
  <c r="B84" i="8"/>
  <c r="B82" i="8"/>
  <c r="B83" i="8"/>
  <c r="B81" i="8"/>
  <c r="D70" i="5" l="1"/>
  <c r="J66" i="5" l="1"/>
  <c r="J70" i="5" s="1"/>
  <c r="J64" i="5"/>
  <c r="I66" i="5"/>
  <c r="I70" i="5" s="1"/>
  <c r="I64" i="5"/>
  <c r="G64" i="5"/>
  <c r="G66" i="5"/>
  <c r="G70" i="5" s="1"/>
  <c r="F66" i="5"/>
  <c r="F70" i="5" s="1"/>
  <c r="F64" i="5"/>
  <c r="H64" i="5"/>
  <c r="H66" i="5"/>
  <c r="H70" i="5" s="1"/>
  <c r="B16" i="5" l="1"/>
  <c r="B17" i="5"/>
  <c r="B19" i="5"/>
  <c r="B20" i="5"/>
  <c r="B6" i="5"/>
  <c r="B14" i="5"/>
  <c r="B13" i="5"/>
  <c r="B7" i="5"/>
  <c r="B8" i="5"/>
  <c r="B9" i="5"/>
  <c r="B10" i="5"/>
  <c r="B11" i="5"/>
  <c r="B12" i="5"/>
  <c r="B5" i="5"/>
  <c r="C77" i="8"/>
  <c r="F28" i="5"/>
  <c r="E10" i="9"/>
  <c r="E21" i="9"/>
  <c r="E39" i="5" l="1"/>
  <c r="F39" i="5" s="1"/>
  <c r="G39" i="5" s="1"/>
  <c r="H39" i="5" s="1"/>
  <c r="I39" i="5" s="1"/>
  <c r="J39" i="5" s="1"/>
  <c r="K39" i="5" s="1"/>
  <c r="L39" i="5" s="1"/>
  <c r="M39" i="5" s="1"/>
  <c r="N39" i="5" s="1"/>
  <c r="O39" i="5" s="1"/>
  <c r="P39" i="5" s="1"/>
  <c r="Q39" i="5" s="1"/>
  <c r="R39" i="5" s="1"/>
  <c r="S39" i="5" s="1"/>
  <c r="T39" i="5" s="1"/>
  <c r="U39" i="5" s="1"/>
  <c r="V39" i="5" s="1"/>
  <c r="C42" i="5"/>
  <c r="D42" i="5" s="1"/>
  <c r="E42" i="5" s="1"/>
  <c r="F42" i="5" s="1"/>
  <c r="G42" i="5" s="1"/>
  <c r="H42" i="5" s="1"/>
  <c r="I42" i="5" s="1"/>
  <c r="J42" i="5" s="1"/>
  <c r="K42" i="5" s="1"/>
  <c r="L42" i="5" s="1"/>
  <c r="M42" i="5" s="1"/>
  <c r="N42" i="5" s="1"/>
  <c r="O42" i="5" s="1"/>
  <c r="P42" i="5" s="1"/>
  <c r="Q42" i="5" s="1"/>
  <c r="R42" i="5" s="1"/>
  <c r="S42" i="5" s="1"/>
  <c r="T42" i="5" s="1"/>
  <c r="U42" i="5" s="1"/>
  <c r="V42" i="5" s="1"/>
  <c r="E40" i="9"/>
  <c r="E13" i="9"/>
  <c r="E22" i="9"/>
  <c r="L3" i="9"/>
  <c r="B61" i="8"/>
  <c r="B66" i="8"/>
  <c r="B59" i="8"/>
  <c r="E28" i="9"/>
  <c r="E7" i="9"/>
  <c r="E15" i="9"/>
  <c r="E46" i="9"/>
  <c r="B62" i="8"/>
  <c r="E43" i="9"/>
  <c r="E37" i="9"/>
  <c r="B70" i="8"/>
  <c r="E33" i="9"/>
  <c r="E45" i="9"/>
  <c r="E34" i="9"/>
  <c r="E39" i="9"/>
  <c r="E19" i="9"/>
  <c r="E27" i="9"/>
  <c r="B97" i="5"/>
  <c r="E9" i="9"/>
  <c r="E16" i="9"/>
  <c r="E25" i="9"/>
  <c r="E31" i="9"/>
  <c r="B67" i="8"/>
  <c r="B37" i="5" l="1"/>
  <c r="B96" i="5"/>
  <c r="D41" i="5"/>
  <c r="E41" i="5" s="1"/>
  <c r="F41" i="5" s="1"/>
  <c r="G41" i="5" s="1"/>
  <c r="H41" i="5" s="1"/>
  <c r="I41" i="5" s="1"/>
  <c r="J41" i="5" s="1"/>
  <c r="K41" i="5" s="1"/>
  <c r="L41" i="5" s="1"/>
  <c r="M41" i="5" s="1"/>
  <c r="N41" i="5" s="1"/>
  <c r="O41" i="5" s="1"/>
  <c r="P41" i="5" s="1"/>
  <c r="Q41" i="5" s="1"/>
  <c r="R41" i="5" s="1"/>
  <c r="S41" i="5" s="1"/>
  <c r="T41" i="5" s="1"/>
  <c r="U41" i="5" s="1"/>
  <c r="V41" i="5" s="1"/>
  <c r="Y42" i="5"/>
  <c r="D22" i="9" s="1"/>
  <c r="X42" i="5"/>
  <c r="C45" i="5"/>
  <c r="D45" i="5" s="1"/>
  <c r="E45" i="5" s="1"/>
  <c r="F45" i="5" s="1"/>
  <c r="G45" i="5" s="1"/>
  <c r="H45" i="5" s="1"/>
  <c r="I45" i="5" s="1"/>
  <c r="J45" i="5" s="1"/>
  <c r="K45" i="5" s="1"/>
  <c r="L45" i="5" s="1"/>
  <c r="M45" i="5" s="1"/>
  <c r="N45" i="5" s="1"/>
  <c r="O45" i="5" s="1"/>
  <c r="P45" i="5" s="1"/>
  <c r="Q45" i="5" s="1"/>
  <c r="R45" i="5" s="1"/>
  <c r="S45" i="5" s="1"/>
  <c r="T45" i="5" s="1"/>
  <c r="U45" i="5" s="1"/>
  <c r="V45" i="5" s="1"/>
  <c r="C46" i="5" l="1"/>
  <c r="X41" i="5"/>
  <c r="Y41" i="5"/>
  <c r="D16" i="9" s="1"/>
  <c r="Y45" i="5"/>
  <c r="D40" i="9" s="1"/>
  <c r="X45" i="5"/>
  <c r="D46" i="5" l="1"/>
  <c r="E46" i="5" s="1"/>
  <c r="F46" i="5" s="1"/>
  <c r="G46" i="5" s="1"/>
  <c r="H46" i="5" s="1"/>
  <c r="I46" i="5" s="1"/>
  <c r="J46" i="5" s="1"/>
  <c r="K46" i="5" s="1"/>
  <c r="L46" i="5" s="1"/>
  <c r="M46" i="5" s="1"/>
  <c r="N46" i="5" s="1"/>
  <c r="O46" i="5" s="1"/>
  <c r="P46" i="5" s="1"/>
  <c r="Q46" i="5" s="1"/>
  <c r="R46" i="5" s="1"/>
  <c r="S46" i="5" s="1"/>
  <c r="T46" i="5" s="1"/>
  <c r="U46" i="5" s="1"/>
  <c r="V46" i="5" s="1"/>
  <c r="X46" i="5" l="1"/>
  <c r="Y46" i="5"/>
  <c r="D46" i="9" s="1"/>
  <c r="C43" i="5" l="1"/>
  <c r="C40" i="5"/>
  <c r="E74" i="8" l="1"/>
  <c r="D74" i="8"/>
  <c r="L74" i="8"/>
  <c r="K74" i="8"/>
  <c r="J74" i="8"/>
  <c r="I74" i="8"/>
  <c r="H74" i="8"/>
  <c r="G74" i="8"/>
  <c r="F74" i="8"/>
  <c r="D40" i="5"/>
  <c r="D43" i="5"/>
  <c r="E43" i="5" s="1"/>
  <c r="F43" i="5" s="1"/>
  <c r="G43" i="5" s="1"/>
  <c r="H43" i="5" s="1"/>
  <c r="I43" i="5" s="1"/>
  <c r="J43" i="5" s="1"/>
  <c r="K43" i="5" s="1"/>
  <c r="L43" i="5" s="1"/>
  <c r="M43" i="5" s="1"/>
  <c r="N43" i="5" s="1"/>
  <c r="O43" i="5" s="1"/>
  <c r="P43" i="5" s="1"/>
  <c r="Q43" i="5" s="1"/>
  <c r="R43" i="5" s="1"/>
  <c r="S43" i="5" s="1"/>
  <c r="T43" i="5" s="1"/>
  <c r="U43" i="5" s="1"/>
  <c r="V43" i="5" s="1"/>
  <c r="C44" i="5"/>
  <c r="E40" i="5" l="1"/>
  <c r="F40" i="5" s="1"/>
  <c r="X43" i="5"/>
  <c r="Y43" i="5"/>
  <c r="D28" i="9" s="1"/>
  <c r="D44" i="5"/>
  <c r="E44" i="5" s="1"/>
  <c r="F44" i="5" s="1"/>
  <c r="G44" i="5" s="1"/>
  <c r="H44" i="5" s="1"/>
  <c r="I44" i="5" s="1"/>
  <c r="J44" i="5" s="1"/>
  <c r="K44" i="5" s="1"/>
  <c r="L44" i="5" s="1"/>
  <c r="M44" i="5" s="1"/>
  <c r="N44" i="5" s="1"/>
  <c r="O44" i="5" s="1"/>
  <c r="P44" i="5" s="1"/>
  <c r="Q44" i="5" s="1"/>
  <c r="R44" i="5" s="1"/>
  <c r="S44" i="5" s="1"/>
  <c r="T44" i="5" s="1"/>
  <c r="U44" i="5" s="1"/>
  <c r="V44" i="5" s="1"/>
  <c r="G40" i="5" l="1"/>
  <c r="H40" i="5" s="1"/>
  <c r="I40" i="5" s="1"/>
  <c r="J40" i="5" s="1"/>
  <c r="K40" i="5" s="1"/>
  <c r="L40" i="5" s="1"/>
  <c r="M40" i="5" s="1"/>
  <c r="N40" i="5" s="1"/>
  <c r="O40" i="5" s="1"/>
  <c r="P40" i="5" s="1"/>
  <c r="Q40" i="5" s="1"/>
  <c r="R40" i="5" s="1"/>
  <c r="S40" i="5" s="1"/>
  <c r="T40" i="5" s="1"/>
  <c r="U40" i="5" s="1"/>
  <c r="V40" i="5" s="1"/>
  <c r="Y44" i="5"/>
  <c r="D34" i="9" s="1"/>
  <c r="X44" i="5"/>
  <c r="X40" i="5" l="1"/>
  <c r="Y40" i="5"/>
  <c r="D10" i="9" s="1"/>
  <c r="E90" i="8" l="1"/>
  <c r="K90" i="8"/>
  <c r="I90" i="8"/>
  <c r="L90" i="8"/>
  <c r="J90" i="8"/>
  <c r="I70" i="8"/>
  <c r="G70" i="8"/>
  <c r="J70" i="8"/>
  <c r="F70" i="8"/>
  <c r="L70" i="8"/>
  <c r="E70" i="8"/>
  <c r="H70" i="8"/>
  <c r="K70" i="8"/>
  <c r="D70" i="8"/>
  <c r="D90" i="8"/>
  <c r="H90" i="8"/>
  <c r="F90" i="8"/>
  <c r="G90" i="8"/>
  <c r="G61" i="8"/>
  <c r="C90" i="8" l="1"/>
  <c r="C70" i="8"/>
  <c r="C61" i="8"/>
  <c r="D61" i="8"/>
  <c r="D62" i="8" s="1"/>
  <c r="E61" i="8"/>
  <c r="F59" i="5" s="1"/>
  <c r="G62" i="8"/>
  <c r="H62" i="8"/>
  <c r="J62" i="8"/>
  <c r="F62" i="8"/>
  <c r="G62" i="5" s="1"/>
  <c r="M59" i="5"/>
  <c r="L59" i="5"/>
  <c r="I62" i="8"/>
  <c r="C62" i="8" l="1"/>
  <c r="D60" i="5" s="1"/>
  <c r="D59" i="5"/>
  <c r="E59" i="5"/>
  <c r="I59" i="5"/>
  <c r="E62" i="8"/>
  <c r="F62" i="5" s="1"/>
  <c r="K59" i="5"/>
  <c r="G60" i="5"/>
  <c r="G67" i="5" s="1"/>
  <c r="G80" i="5" s="1"/>
  <c r="H59" i="5"/>
  <c r="G59" i="5"/>
  <c r="L62" i="8"/>
  <c r="M62" i="5" s="1"/>
  <c r="K62" i="8"/>
  <c r="L60" i="5" s="1"/>
  <c r="L71" i="5" s="1"/>
  <c r="J59" i="5"/>
  <c r="I62" i="5"/>
  <c r="I60" i="5"/>
  <c r="K62" i="5"/>
  <c r="K60" i="5"/>
  <c r="J62" i="5"/>
  <c r="J60" i="5"/>
  <c r="E62" i="5"/>
  <c r="E60" i="5"/>
  <c r="H62" i="5"/>
  <c r="H60" i="5"/>
  <c r="D62" i="5"/>
  <c r="I67" i="5" l="1"/>
  <c r="I86" i="5" s="1"/>
  <c r="G88" i="5"/>
  <c r="G92" i="5"/>
  <c r="G89" i="5"/>
  <c r="G85" i="5"/>
  <c r="G93" i="5"/>
  <c r="G91" i="5"/>
  <c r="G86" i="5"/>
  <c r="G87" i="5"/>
  <c r="G83" i="5"/>
  <c r="G79" i="5"/>
  <c r="G84" i="5"/>
  <c r="G77" i="5"/>
  <c r="G81" i="5"/>
  <c r="G78" i="5"/>
  <c r="G82" i="5"/>
  <c r="G76" i="5"/>
  <c r="G75" i="5"/>
  <c r="F60" i="5"/>
  <c r="F68" i="5" s="1"/>
  <c r="G68" i="5"/>
  <c r="G73" i="5" s="1"/>
  <c r="K71" i="5"/>
  <c r="K72" i="5" s="1"/>
  <c r="G71" i="5"/>
  <c r="M60" i="5"/>
  <c r="M71" i="5" s="1"/>
  <c r="M72" i="5" s="1"/>
  <c r="L62" i="5"/>
  <c r="L72" i="5" s="1"/>
  <c r="J71" i="5"/>
  <c r="J72" i="5" s="1"/>
  <c r="I71" i="5"/>
  <c r="K68" i="5"/>
  <c r="K67" i="5"/>
  <c r="K75" i="5" s="1"/>
  <c r="I68" i="5"/>
  <c r="I92" i="5"/>
  <c r="I93" i="5"/>
  <c r="I90" i="5"/>
  <c r="I91" i="5"/>
  <c r="J67" i="5"/>
  <c r="J77" i="5" s="1"/>
  <c r="J68" i="5"/>
  <c r="J92" i="5"/>
  <c r="E67" i="5"/>
  <c r="E75" i="5" s="1"/>
  <c r="D67" i="5"/>
  <c r="D81" i="5" s="1"/>
  <c r="H67" i="5"/>
  <c r="H75" i="5" s="1"/>
  <c r="E71" i="5"/>
  <c r="D68" i="5"/>
  <c r="D73" i="5" s="1"/>
  <c r="H68" i="5"/>
  <c r="D71" i="5"/>
  <c r="E93" i="5"/>
  <c r="E68" i="5"/>
  <c r="E92" i="5"/>
  <c r="E91" i="5"/>
  <c r="E90" i="5"/>
  <c r="F90" i="5"/>
  <c r="H71" i="5"/>
  <c r="H72" i="5" s="1"/>
  <c r="I72" i="5" l="1"/>
  <c r="I94" i="5" s="1"/>
  <c r="G72" i="5"/>
  <c r="G94" i="5" s="1"/>
  <c r="E72" i="5"/>
  <c r="E94" i="5" s="1"/>
  <c r="D76" i="5"/>
  <c r="D75" i="5"/>
  <c r="I87" i="5"/>
  <c r="I83" i="5"/>
  <c r="I89" i="5"/>
  <c r="I80" i="5"/>
  <c r="I75" i="5"/>
  <c r="I81" i="5"/>
  <c r="I78" i="5"/>
  <c r="I88" i="5"/>
  <c r="I79" i="5"/>
  <c r="I77" i="5"/>
  <c r="I85" i="5"/>
  <c r="I84" i="5"/>
  <c r="I76" i="5"/>
  <c r="I82" i="5"/>
  <c r="K69" i="5"/>
  <c r="K73" i="5"/>
  <c r="I69" i="5"/>
  <c r="I73" i="5"/>
  <c r="H69" i="5"/>
  <c r="H73" i="5"/>
  <c r="J69" i="5"/>
  <c r="J73" i="5"/>
  <c r="E69" i="5"/>
  <c r="E73" i="5"/>
  <c r="F69" i="5"/>
  <c r="F73" i="5"/>
  <c r="D69" i="5"/>
  <c r="D72" i="5" s="1"/>
  <c r="D94" i="5" s="1"/>
  <c r="J87" i="5"/>
  <c r="J91" i="5"/>
  <c r="J90" i="5"/>
  <c r="J83" i="5"/>
  <c r="J94" i="5"/>
  <c r="J89" i="5"/>
  <c r="J88" i="5"/>
  <c r="D79" i="5"/>
  <c r="D90" i="5"/>
  <c r="K83" i="5"/>
  <c r="K91" i="5"/>
  <c r="K81" i="5"/>
  <c r="K85" i="5"/>
  <c r="K89" i="5"/>
  <c r="J79" i="5"/>
  <c r="J78" i="5"/>
  <c r="J76" i="5"/>
  <c r="J85" i="5"/>
  <c r="J82" i="5"/>
  <c r="J86" i="5"/>
  <c r="D91" i="5"/>
  <c r="D89" i="5"/>
  <c r="F71" i="5"/>
  <c r="G69" i="5"/>
  <c r="G90" i="5"/>
  <c r="K79" i="5"/>
  <c r="K94" i="5"/>
  <c r="K90" i="5"/>
  <c r="K77" i="5"/>
  <c r="J84" i="5"/>
  <c r="J81" i="5"/>
  <c r="K93" i="5"/>
  <c r="K86" i="5"/>
  <c r="J80" i="5"/>
  <c r="K82" i="5"/>
  <c r="K78" i="5"/>
  <c r="K88" i="5"/>
  <c r="K87" i="5"/>
  <c r="K84" i="5"/>
  <c r="E87" i="5"/>
  <c r="K92" i="5"/>
  <c r="K76" i="5"/>
  <c r="K80" i="5"/>
  <c r="F67" i="5"/>
  <c r="M68" i="5"/>
  <c r="M67" i="5"/>
  <c r="M75" i="5" s="1"/>
  <c r="L68" i="5"/>
  <c r="L67" i="5"/>
  <c r="L75" i="5" s="1"/>
  <c r="L90" i="5"/>
  <c r="J93" i="5"/>
  <c r="J75" i="5"/>
  <c r="E86" i="5"/>
  <c r="E88" i="5"/>
  <c r="D87" i="5"/>
  <c r="H83" i="5"/>
  <c r="H86" i="5"/>
  <c r="H79" i="5"/>
  <c r="E89" i="5"/>
  <c r="H90" i="5"/>
  <c r="D84" i="5"/>
  <c r="H76" i="5"/>
  <c r="M92" i="5"/>
  <c r="H93" i="5"/>
  <c r="H92" i="5"/>
  <c r="H81" i="5"/>
  <c r="H89" i="5"/>
  <c r="H85" i="5"/>
  <c r="M94" i="5"/>
  <c r="H84" i="5"/>
  <c r="H78" i="5"/>
  <c r="H91" i="5"/>
  <c r="H87" i="5"/>
  <c r="M93" i="5"/>
  <c r="H80" i="5"/>
  <c r="H82" i="5"/>
  <c r="H77" i="5"/>
  <c r="H88" i="5"/>
  <c r="D93" i="5"/>
  <c r="F92" i="5"/>
  <c r="D92" i="5"/>
  <c r="D83" i="5"/>
  <c r="D88" i="5"/>
  <c r="F91" i="5"/>
  <c r="F93" i="5"/>
  <c r="D82" i="5"/>
  <c r="D85" i="5"/>
  <c r="D86" i="5"/>
  <c r="D78" i="5"/>
  <c r="D77" i="5"/>
  <c r="H94" i="5"/>
  <c r="E80" i="5"/>
  <c r="E84" i="5"/>
  <c r="E78" i="5"/>
  <c r="E81" i="5"/>
  <c r="E79" i="5"/>
  <c r="E77" i="5"/>
  <c r="E83" i="5"/>
  <c r="E82" i="5"/>
  <c r="E85" i="5"/>
  <c r="E76" i="5"/>
  <c r="D80" i="5"/>
  <c r="M91" i="5"/>
  <c r="M90" i="5"/>
  <c r="G96" i="5" l="1"/>
  <c r="G97" i="5" s="1"/>
  <c r="F84" i="8" s="1"/>
  <c r="F89" i="8" s="1"/>
  <c r="F72" i="5"/>
  <c r="F94" i="5" s="1"/>
  <c r="D96" i="5"/>
  <c r="D97" i="5" s="1"/>
  <c r="C81" i="8" s="1"/>
  <c r="F64" i="8"/>
  <c r="F85" i="8"/>
  <c r="I96" i="5"/>
  <c r="M69" i="5"/>
  <c r="M73" i="5"/>
  <c r="L69" i="5"/>
  <c r="L94" i="5" s="1"/>
  <c r="L73" i="5"/>
  <c r="M86" i="5"/>
  <c r="M85" i="5"/>
  <c r="M88" i="5"/>
  <c r="M89" i="5"/>
  <c r="M87" i="5"/>
  <c r="L83" i="5"/>
  <c r="F82" i="5"/>
  <c r="F87" i="5"/>
  <c r="F86" i="5"/>
  <c r="F88" i="5"/>
  <c r="F89" i="5"/>
  <c r="F85" i="5"/>
  <c r="M83" i="5"/>
  <c r="M84" i="5"/>
  <c r="M82" i="5"/>
  <c r="M80" i="5"/>
  <c r="M79" i="5"/>
  <c r="M81" i="5"/>
  <c r="M76" i="5"/>
  <c r="M78" i="5"/>
  <c r="M77" i="5"/>
  <c r="L86" i="5"/>
  <c r="L88" i="5"/>
  <c r="L91" i="5"/>
  <c r="L87" i="5"/>
  <c r="L93" i="5"/>
  <c r="L89" i="5"/>
  <c r="L84" i="5"/>
  <c r="L85" i="5"/>
  <c r="L92" i="5"/>
  <c r="L82" i="5"/>
  <c r="F80" i="5"/>
  <c r="F81" i="5"/>
  <c r="F79" i="5"/>
  <c r="F78" i="5"/>
  <c r="F77" i="5"/>
  <c r="F76" i="5"/>
  <c r="L77" i="5"/>
  <c r="K96" i="5"/>
  <c r="K97" i="5" s="1"/>
  <c r="J81" i="8" s="1"/>
  <c r="L80" i="5"/>
  <c r="F75" i="5"/>
  <c r="F84" i="5"/>
  <c r="F83" i="5"/>
  <c r="L78" i="5"/>
  <c r="L81" i="5"/>
  <c r="L79" i="5"/>
  <c r="L76" i="5"/>
  <c r="J96" i="5"/>
  <c r="J97" i="5" s="1"/>
  <c r="I81" i="8" s="1"/>
  <c r="H96" i="5"/>
  <c r="H97" i="5" s="1"/>
  <c r="G81" i="8" s="1"/>
  <c r="E96" i="5"/>
  <c r="E97" i="5" s="1"/>
  <c r="D81" i="8" s="1"/>
  <c r="F81" i="8" l="1"/>
  <c r="G110" i="5" s="1"/>
  <c r="G111" i="5" s="1"/>
  <c r="G112" i="5" s="1"/>
  <c r="G113" i="5" s="1"/>
  <c r="G114" i="5" s="1"/>
  <c r="C64" i="8"/>
  <c r="J84" i="8"/>
  <c r="J89" i="8" s="1"/>
  <c r="J64" i="8"/>
  <c r="I84" i="8"/>
  <c r="I89" i="8" s="1"/>
  <c r="I64" i="8"/>
  <c r="G84" i="8"/>
  <c r="G89" i="8" s="1"/>
  <c r="G64" i="8"/>
  <c r="D84" i="8"/>
  <c r="D89" i="8" s="1"/>
  <c r="D64" i="8"/>
  <c r="C84" i="8"/>
  <c r="C89" i="8" s="1"/>
  <c r="K110" i="5"/>
  <c r="J85" i="8"/>
  <c r="E110" i="5"/>
  <c r="D85" i="8"/>
  <c r="H110" i="5"/>
  <c r="G85" i="8"/>
  <c r="C85" i="8"/>
  <c r="J110" i="5"/>
  <c r="I85" i="8"/>
  <c r="I97" i="5"/>
  <c r="H81" i="8" s="1"/>
  <c r="M96" i="5"/>
  <c r="M97" i="5" s="1"/>
  <c r="L81" i="8" s="1"/>
  <c r="F96" i="5"/>
  <c r="F97" i="5" s="1"/>
  <c r="E81" i="8" s="1"/>
  <c r="L96" i="5"/>
  <c r="L97" i="5" s="1"/>
  <c r="K81" i="8" s="1"/>
  <c r="F88" i="8" l="1"/>
  <c r="F87" i="8"/>
  <c r="F86" i="8"/>
  <c r="G115" i="5" s="1"/>
  <c r="D110" i="5"/>
  <c r="D111" i="5" s="1"/>
  <c r="D112" i="5" s="1"/>
  <c r="D113" i="5" s="1"/>
  <c r="D114" i="5" s="1"/>
  <c r="L84" i="8"/>
  <c r="L89" i="8" s="1"/>
  <c r="L64" i="8"/>
  <c r="K84" i="8"/>
  <c r="K89" i="8" s="1"/>
  <c r="K64" i="8"/>
  <c r="H84" i="8"/>
  <c r="H89" i="8" s="1"/>
  <c r="H64" i="8"/>
  <c r="E84" i="8"/>
  <c r="E89" i="8" s="1"/>
  <c r="E64" i="8"/>
  <c r="E111" i="5"/>
  <c r="E112" i="5" s="1"/>
  <c r="E113" i="5" s="1"/>
  <c r="E114" i="5" s="1"/>
  <c r="J111" i="5"/>
  <c r="J112" i="5" s="1"/>
  <c r="J113" i="5" s="1"/>
  <c r="J114" i="5" s="1"/>
  <c r="H111" i="5"/>
  <c r="H112" i="5" s="1"/>
  <c r="H113" i="5" s="1"/>
  <c r="H114" i="5" s="1"/>
  <c r="K111" i="5"/>
  <c r="K112" i="5" s="1"/>
  <c r="K113" i="5" s="1"/>
  <c r="K114" i="5" s="1"/>
  <c r="D87" i="8"/>
  <c r="D88" i="8"/>
  <c r="G87" i="8"/>
  <c r="G88" i="8"/>
  <c r="J87" i="8"/>
  <c r="J88" i="8"/>
  <c r="C87" i="8"/>
  <c r="C88" i="8"/>
  <c r="I87" i="8"/>
  <c r="I88" i="8"/>
  <c r="G86" i="8"/>
  <c r="D86" i="8"/>
  <c r="I86" i="8"/>
  <c r="J86" i="8"/>
  <c r="C86" i="8"/>
  <c r="L110" i="5"/>
  <c r="K85" i="8"/>
  <c r="F110" i="5"/>
  <c r="E85" i="8"/>
  <c r="I110" i="5"/>
  <c r="H85" i="8"/>
  <c r="M110" i="5"/>
  <c r="L85" i="8"/>
  <c r="G116" i="5" l="1"/>
  <c r="G117" i="5" s="1"/>
  <c r="G118" i="5" s="1"/>
  <c r="G119" i="5" s="1"/>
  <c r="G120" i="5" s="1"/>
  <c r="G121" i="5" s="1"/>
  <c r="G122" i="5" s="1"/>
  <c r="G123" i="5" s="1"/>
  <c r="G124" i="5" s="1"/>
  <c r="G125" i="5" s="1"/>
  <c r="G126" i="5" s="1"/>
  <c r="G127" i="5" s="1"/>
  <c r="G128" i="5" s="1"/>
  <c r="G129" i="5" s="1"/>
  <c r="D115" i="5"/>
  <c r="K115" i="5"/>
  <c r="F111" i="5"/>
  <c r="F112" i="5" s="1"/>
  <c r="F113" i="5" s="1"/>
  <c r="F114" i="5" s="1"/>
  <c r="H115" i="5"/>
  <c r="M111" i="5"/>
  <c r="M112" i="5" s="1"/>
  <c r="M113" i="5" s="1"/>
  <c r="M114" i="5" s="1"/>
  <c r="I111" i="5"/>
  <c r="I112" i="5" s="1"/>
  <c r="I113" i="5" s="1"/>
  <c r="I114" i="5" s="1"/>
  <c r="L111" i="5"/>
  <c r="L112" i="5" s="1"/>
  <c r="L113" i="5" s="1"/>
  <c r="L114" i="5" s="1"/>
  <c r="J115" i="5"/>
  <c r="E115" i="5"/>
  <c r="E116" i="5" s="1"/>
  <c r="E117" i="5" s="1"/>
  <c r="E118" i="5" s="1"/>
  <c r="E119" i="5" s="1"/>
  <c r="E120" i="5" s="1"/>
  <c r="E121" i="5" s="1"/>
  <c r="E122" i="5" s="1"/>
  <c r="E123" i="5" s="1"/>
  <c r="E124" i="5" s="1"/>
  <c r="E125" i="5" s="1"/>
  <c r="E126" i="5" s="1"/>
  <c r="E127" i="5" s="1"/>
  <c r="E128" i="5" s="1"/>
  <c r="E129" i="5" s="1"/>
  <c r="L87" i="8"/>
  <c r="L88" i="8"/>
  <c r="E87" i="8"/>
  <c r="E88" i="8"/>
  <c r="K87" i="8"/>
  <c r="K88" i="8"/>
  <c r="H87" i="8"/>
  <c r="H88" i="8"/>
  <c r="K86" i="8"/>
  <c r="E86" i="8"/>
  <c r="H86" i="8"/>
  <c r="L86" i="8"/>
  <c r="G131" i="5" l="1"/>
  <c r="K116" i="5"/>
  <c r="K117" i="5" s="1"/>
  <c r="K118" i="5" s="1"/>
  <c r="K119" i="5" s="1"/>
  <c r="K120" i="5" s="1"/>
  <c r="K121" i="5" s="1"/>
  <c r="K122" i="5" s="1"/>
  <c r="K123" i="5" s="1"/>
  <c r="K124" i="5" s="1"/>
  <c r="K125" i="5" s="1"/>
  <c r="K126" i="5" s="1"/>
  <c r="K127" i="5" s="1"/>
  <c r="K128" i="5" s="1"/>
  <c r="K129" i="5" s="1"/>
  <c r="D116" i="5"/>
  <c r="D117" i="5" s="1"/>
  <c r="D118" i="5" s="1"/>
  <c r="D119" i="5" s="1"/>
  <c r="D120" i="5" s="1"/>
  <c r="D121" i="5" s="1"/>
  <c r="D122" i="5" s="1"/>
  <c r="D123" i="5" s="1"/>
  <c r="D124" i="5" s="1"/>
  <c r="D125" i="5" s="1"/>
  <c r="D126" i="5" s="1"/>
  <c r="D127" i="5" s="1"/>
  <c r="D128" i="5" s="1"/>
  <c r="D129" i="5" s="1"/>
  <c r="J116" i="5"/>
  <c r="J117" i="5" s="1"/>
  <c r="J118" i="5" s="1"/>
  <c r="J119" i="5" s="1"/>
  <c r="J120" i="5" s="1"/>
  <c r="J121" i="5" s="1"/>
  <c r="J122" i="5" s="1"/>
  <c r="J123" i="5" s="1"/>
  <c r="J124" i="5" s="1"/>
  <c r="J125" i="5" s="1"/>
  <c r="J126" i="5" s="1"/>
  <c r="J127" i="5" s="1"/>
  <c r="J128" i="5" s="1"/>
  <c r="J129" i="5" s="1"/>
  <c r="L115" i="5"/>
  <c r="I115" i="5"/>
  <c r="M115" i="5"/>
  <c r="H116" i="5"/>
  <c r="H117" i="5" s="1"/>
  <c r="H118" i="5" s="1"/>
  <c r="H119" i="5" s="1"/>
  <c r="H120" i="5" s="1"/>
  <c r="H121" i="5" s="1"/>
  <c r="H122" i="5" s="1"/>
  <c r="H123" i="5" s="1"/>
  <c r="H124" i="5" s="1"/>
  <c r="H125" i="5" s="1"/>
  <c r="H126" i="5" s="1"/>
  <c r="H127" i="5" s="1"/>
  <c r="H128" i="5" s="1"/>
  <c r="H129" i="5" s="1"/>
  <c r="E131" i="5"/>
  <c r="F115" i="5"/>
  <c r="F116" i="5" s="1"/>
  <c r="F117" i="5" s="1"/>
  <c r="F118" i="5" s="1"/>
  <c r="F119" i="5" s="1"/>
  <c r="F120" i="5" s="1"/>
  <c r="F121" i="5" s="1"/>
  <c r="F122" i="5" s="1"/>
  <c r="F123" i="5" s="1"/>
  <c r="F124" i="5" s="1"/>
  <c r="F125" i="5" s="1"/>
  <c r="F126" i="5" s="1"/>
  <c r="F127" i="5" s="1"/>
  <c r="F128" i="5" s="1"/>
  <c r="F129" i="5" s="1"/>
  <c r="H131" i="5" l="1"/>
  <c r="K131" i="5"/>
  <c r="D131" i="5"/>
  <c r="F131" i="5"/>
  <c r="M116" i="5"/>
  <c r="M117" i="5" s="1"/>
  <c r="M118" i="5" s="1"/>
  <c r="M119" i="5" s="1"/>
  <c r="M120" i="5" s="1"/>
  <c r="M121" i="5" s="1"/>
  <c r="M122" i="5" s="1"/>
  <c r="M123" i="5" s="1"/>
  <c r="M124" i="5" s="1"/>
  <c r="M125" i="5" s="1"/>
  <c r="M126" i="5" s="1"/>
  <c r="M127" i="5" s="1"/>
  <c r="M128" i="5" s="1"/>
  <c r="M129" i="5" s="1"/>
  <c r="I116" i="5"/>
  <c r="I117" i="5" s="1"/>
  <c r="I118" i="5" s="1"/>
  <c r="I119" i="5" s="1"/>
  <c r="I120" i="5" s="1"/>
  <c r="I121" i="5" s="1"/>
  <c r="I122" i="5" s="1"/>
  <c r="I123" i="5" s="1"/>
  <c r="I124" i="5" s="1"/>
  <c r="I125" i="5" s="1"/>
  <c r="I126" i="5" s="1"/>
  <c r="I127" i="5" s="1"/>
  <c r="I128" i="5" s="1"/>
  <c r="I129" i="5" s="1"/>
  <c r="L116" i="5"/>
  <c r="L117" i="5" s="1"/>
  <c r="L118" i="5" s="1"/>
  <c r="L119" i="5" s="1"/>
  <c r="L120" i="5" s="1"/>
  <c r="L121" i="5" s="1"/>
  <c r="L122" i="5" s="1"/>
  <c r="L123" i="5" s="1"/>
  <c r="L124" i="5" s="1"/>
  <c r="L125" i="5" s="1"/>
  <c r="L126" i="5" s="1"/>
  <c r="L127" i="5" s="1"/>
  <c r="L128" i="5" s="1"/>
  <c r="L129" i="5" s="1"/>
  <c r="J131" i="5"/>
  <c r="L131" i="5" l="1"/>
  <c r="I131" i="5"/>
  <c r="M131"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<sst xmlns="http://schemas.openxmlformats.org/spreadsheetml/2006/main" count="514" uniqueCount="297">
  <si>
    <r>
      <rPr>
        <sz val="12"/>
        <color theme="1"/>
        <rFont val="Calibri"/>
        <family val="2"/>
        <scheme val="minor"/>
      </rPr>
      <t>This tool was developed as part of the Interreg Central Europe project CE200535</t>
    </r>
    <r>
      <rPr>
        <b/>
        <sz val="14"/>
        <color theme="1"/>
        <rFont val="Calibri"/>
        <family val="2"/>
        <scheme val="minor"/>
      </rPr>
      <t xml:space="preserve">
</t>
    </r>
    <r>
      <rPr>
        <b/>
        <sz val="18"/>
        <color theme="1"/>
        <rFont val="Calibri"/>
        <family val="2"/>
        <scheme val="minor"/>
      </rPr>
      <t>HEAT 35</t>
    </r>
    <r>
      <rPr>
        <b/>
        <sz val="14"/>
        <color theme="1"/>
        <rFont val="Calibri"/>
        <family val="2"/>
        <scheme val="minor"/>
      </rPr>
      <t xml:space="preserve">
Transforming district heating systems of Central Europe
into sustainable and efficient heating and cooling systems by 2035</t>
    </r>
  </si>
  <si>
    <t>Please contact AEE INTEC for any suggestions or bug-reports about this tool:</t>
  </si>
  <si>
    <t>Christian Ramerstorfer - c.ramerstorfer@aee.at</t>
  </si>
  <si>
    <t>Introduction</t>
  </si>
  <si>
    <r>
      <t xml:space="preserve">The purpose of this Excel tool is to provide an overview of </t>
    </r>
    <r>
      <rPr>
        <b/>
        <sz val="11"/>
        <color theme="1"/>
        <rFont val="Calibri"/>
        <family val="2"/>
        <scheme val="minor"/>
      </rPr>
      <t>estimated average annual heat production costs</t>
    </r>
    <r>
      <rPr>
        <sz val="11"/>
        <color theme="1"/>
        <rFont val="Calibri"/>
        <family val="2"/>
        <scheme val="minor"/>
      </rPr>
      <t xml:space="preserve"> for various heat supply portfolios, based on a 20-year operational period. This enables district heating operators to compare their current system with alternative heat supply portfolios when planning refurbishments or future investments. In addition, the tool estimates the CO</t>
    </r>
    <r>
      <rPr>
        <vertAlign val="subscript"/>
        <sz val="11"/>
        <color theme="1"/>
        <rFont val="Calibri"/>
        <family val="2"/>
        <scheme val="minor"/>
      </rPr>
      <t>2</t>
    </r>
    <r>
      <rPr>
        <sz val="11"/>
        <color theme="1"/>
        <rFont val="Calibri"/>
        <family val="2"/>
        <scheme val="minor"/>
      </rPr>
      <t>-equivalent missiosn of each portfolio. 
The tool is not designed to deliver precise, project-specific cost calculations. Due to the complexity and site-specific characteristics of different heating technologies, such accuracy would require a more detailed engineering and economic analyses. Instead, the tool applies a simplified approach to provide a fast and transparent comparison using indicative values. Because of this, all results should be interpreted with care. Users should always consider local conditions, the assumptions applied to the input data, and the simplified methodology on which the tool is based.</t>
    </r>
  </si>
  <si>
    <t>Main notes</t>
  </si>
  <si>
    <r>
      <t>This Excel tool is organized into the following worksheets:
   - Exploratory notes
   - Boundary conditions (fuel prices and CO</t>
    </r>
    <r>
      <rPr>
        <vertAlign val="subscript"/>
        <sz val="11"/>
        <color theme="1"/>
        <rFont val="Calibri"/>
        <family val="2"/>
        <scheme val="minor"/>
      </rPr>
      <t>2</t>
    </r>
    <r>
      <rPr>
        <sz val="11"/>
        <color theme="1"/>
        <rFont val="Calibri"/>
        <family val="2"/>
        <scheme val="minor"/>
      </rPr>
      <t xml:space="preserve"> emission factors)
   - RES Alternatives (main inputs and results)
   </t>
    </r>
    <r>
      <rPr>
        <sz val="11"/>
        <color theme="0" tint="-0.249977111117893"/>
        <rFont val="Calibri"/>
        <family val="2"/>
        <scheme val="minor"/>
      </rPr>
      <t>- HelpSheet (supporting calculations - not to be changed)</t>
    </r>
  </si>
  <si>
    <t>Boundary conditions</t>
  </si>
  <si>
    <r>
      <rPr>
        <sz val="11"/>
        <color rgb="FF000000"/>
        <rFont val="Calibri"/>
        <scheme val="minor"/>
      </rPr>
      <t xml:space="preserve">In the </t>
    </r>
    <r>
      <rPr>
        <b/>
        <sz val="11"/>
        <color rgb="FF000000"/>
        <rFont val="Calibri"/>
        <scheme val="minor"/>
      </rPr>
      <t>boundary conditions</t>
    </r>
    <r>
      <rPr>
        <sz val="11"/>
        <color rgb="FF000000"/>
        <rFont val="Calibri"/>
        <scheme val="minor"/>
      </rPr>
      <t xml:space="preserve"> sheet, users define the global (i.e., case-independent) technical, economic and ecological parameters used in the calculations. Default values are given for Austria. </t>
    </r>
    <r>
      <rPr>
        <sz val="11"/>
        <color rgb="FFFF0000"/>
        <rFont val="Calibri"/>
        <scheme val="minor"/>
      </rPr>
      <t xml:space="preserve">Please ensure that the values you enter are representative, consistent, and based on an uniform, up-tp-date, and meaningful year.
</t>
    </r>
    <r>
      <rPr>
        <sz val="11"/>
        <color rgb="FF000000"/>
        <rFont val="Calibri"/>
        <scheme val="minor"/>
      </rPr>
      <t>For each main fuel type, the following parameters can be specified:</t>
    </r>
  </si>
  <si>
    <r>
      <rPr>
        <b/>
        <sz val="11"/>
        <color rgb="FF000000"/>
        <rFont val="Calibri"/>
        <scheme val="minor"/>
      </rPr>
      <t>Net heating value (NCV)</t>
    </r>
    <r>
      <rPr>
        <sz val="11"/>
        <color rgb="FF000000"/>
        <rFont val="Calibri"/>
        <scheme val="minor"/>
      </rPr>
      <t xml:space="preserve">: The net heating value (or net calorific value NCV) is the amount of heat released during complete combustion without considering the condensation heat of water (as it is usually dissipated as unused steam). Beware that, though it is possible to change the net heating value, it might be only necessary to revise this value for biomass fuels where depending on the exact source (e.g. wood type, water content, ...) relevant differences on the net heating value can be observed.
</t>
    </r>
    <r>
      <rPr>
        <b/>
        <sz val="11"/>
        <color rgb="FF000000"/>
        <rFont val="Calibri"/>
        <scheme val="minor"/>
      </rPr>
      <t>Fuel price</t>
    </r>
    <r>
      <rPr>
        <sz val="11"/>
        <color rgb="FF000000"/>
        <rFont val="Calibri"/>
        <scheme val="minor"/>
      </rPr>
      <t xml:space="preserve">: fuel prices should be referred to a specific and representative year (the same or similar for all fuels). 
</t>
    </r>
    <r>
      <rPr>
        <b/>
        <sz val="11"/>
        <color rgb="FF000000"/>
        <rFont val="Calibri"/>
        <scheme val="minor"/>
      </rPr>
      <t>Average price development</t>
    </r>
    <r>
      <rPr>
        <sz val="11"/>
        <color rgb="FF000000"/>
        <rFont val="Calibri"/>
        <scheme val="minor"/>
      </rPr>
      <t xml:space="preserve">: This is the expected annual percentage change in fuel prices over the next 20 years. The tool assumes a constant percentage increase each year. </t>
    </r>
    <r>
      <rPr>
        <sz val="11"/>
        <color rgb="FFFF0000"/>
        <rFont val="Calibri"/>
        <scheme val="minor"/>
      </rPr>
      <t xml:space="preserve">Given the uncertainty and strong influence of fuel price trends on the results, it is advisable to apply conservative assumptions.
</t>
    </r>
    <r>
      <rPr>
        <sz val="11"/>
        <color rgb="FF000000"/>
        <rFont val="Calibri"/>
        <scheme val="minor"/>
      </rPr>
      <t xml:space="preserve">
</t>
    </r>
    <r>
      <rPr>
        <b/>
        <sz val="11"/>
        <color rgb="FF000000"/>
        <rFont val="Calibri"/>
        <scheme val="minor"/>
      </rPr>
      <t>Average heat price 20-years</t>
    </r>
    <r>
      <rPr>
        <sz val="11"/>
        <color rgb="FF000000"/>
        <rFont val="Calibri"/>
        <scheme val="minor"/>
      </rPr>
      <t xml:space="preserve">: Based on the reference-year fuel price and the assumed average price development, the tool calculates an average heat price for the 20-year period. This value is later used in the evaluation of the reference systems.
</t>
    </r>
    <r>
      <rPr>
        <b/>
        <sz val="11"/>
        <color rgb="FF000000"/>
        <rFont val="Calibri"/>
        <scheme val="minor"/>
      </rPr>
      <t>CO</t>
    </r>
    <r>
      <rPr>
        <b/>
        <sz val="11"/>
        <color rgb="FF000000"/>
        <rFont val="Calibri"/>
      </rPr>
      <t>₂</t>
    </r>
    <r>
      <rPr>
        <b/>
        <sz val="11"/>
        <color rgb="FF000000"/>
        <rFont val="Calibri"/>
        <scheme val="minor"/>
      </rPr>
      <t xml:space="preserve"> equivalent emission factor</t>
    </r>
    <r>
      <rPr>
        <sz val="11"/>
        <color rgb="FF000000"/>
        <rFont val="Calibri"/>
        <scheme val="minor"/>
      </rPr>
      <t>:  Used in the ecological assessment of the reference systems, this factor is expressed in kg CO₂-eq per kWh.
Note: Additional variable or consumption-dependent costs (e.g., portions of network costs) cannot be defined separately later in the tool. Such costs should be integrated directly into the fuel costs.</t>
    </r>
  </si>
  <si>
    <r>
      <t>Further economic boundary conditions include the available capital for investments (</t>
    </r>
    <r>
      <rPr>
        <b/>
        <sz val="11"/>
        <color theme="1"/>
        <rFont val="Calibri"/>
        <family val="2"/>
        <scheme val="minor"/>
      </rPr>
      <t>equity</t>
    </r>
    <r>
      <rPr>
        <sz val="11"/>
        <color theme="1"/>
        <rFont val="Calibri"/>
        <family val="2"/>
        <scheme val="minor"/>
      </rPr>
      <t xml:space="preserve">) and the </t>
    </r>
    <r>
      <rPr>
        <b/>
        <sz val="11"/>
        <color theme="1"/>
        <rFont val="Calibri"/>
        <family val="2"/>
        <scheme val="minor"/>
      </rPr>
      <t>loan interest rate</t>
    </r>
    <r>
      <rPr>
        <sz val="11"/>
        <color theme="1"/>
        <rFont val="Calibri"/>
        <family val="2"/>
        <scheme val="minor"/>
      </rPr>
      <t>. When an investment is required, the tool assumes that all available equity is used for the initial investment. If a reinvestment becomes necessary during the 20-year period (i.e., when the installation lifetime is shorter than 20 years), the subsequent investment is assumed to be financed entirely without equity.</t>
    </r>
  </si>
  <si>
    <r>
      <rPr>
        <sz val="11"/>
        <color rgb="FF000000"/>
        <rFont val="Calibri"/>
        <scheme val="minor"/>
      </rPr>
      <t xml:space="preserve">The currency displayed in the tables and graphs can be easily changed by selecting one of the predefined options (EUR, USD, PLN, or HRK). This feature is intended to facilitate the use of the tool in regions outside the Eurozone.
</t>
    </r>
    <r>
      <rPr>
        <sz val="11"/>
        <color rgb="FFFF0000"/>
        <rFont val="Calibri"/>
        <scheme val="minor"/>
      </rPr>
      <t>Please note that the numerical values within the Excel workbook are dimensionless—changing the displayed currency does not automatically convert them. Therefore, all values must be manually adjusted after changing the “currency used” setting.</t>
    </r>
  </si>
  <si>
    <t>RES Alternatives</t>
  </si>
  <si>
    <r>
      <rPr>
        <sz val="11"/>
        <color rgb="FF000000"/>
        <rFont val="Calibri"/>
        <scheme val="minor"/>
      </rPr>
      <t xml:space="preserve">This sheet defines the reference case as well as a set of alternative heat supply portfolios. 
The first two values, </t>
    </r>
    <r>
      <rPr>
        <b/>
        <sz val="11"/>
        <color rgb="FF000000"/>
        <rFont val="Calibri"/>
        <scheme val="minor"/>
      </rPr>
      <t>heat demand</t>
    </r>
    <r>
      <rPr>
        <sz val="11"/>
        <color rgb="FF000000"/>
        <rFont val="Calibri"/>
        <scheme val="minor"/>
      </rPr>
      <t xml:space="preserve"> and </t>
    </r>
    <r>
      <rPr>
        <b/>
        <sz val="11"/>
        <color rgb="FF000000"/>
        <rFont val="Calibri"/>
        <scheme val="minor"/>
      </rPr>
      <t>heat production capacity</t>
    </r>
    <r>
      <rPr>
        <sz val="11"/>
        <color rgb="FF000000"/>
        <rFont val="Calibri"/>
        <scheme val="minor"/>
      </rPr>
      <t xml:space="preserve">, represent the main technical boundary conditions. In addition, user must specify an </t>
    </r>
    <r>
      <rPr>
        <b/>
        <sz val="11"/>
        <color rgb="FF000000"/>
        <rFont val="Calibri"/>
        <scheme val="minor"/>
      </rPr>
      <t>installation lifetime</t>
    </r>
    <r>
      <rPr>
        <sz val="11"/>
        <color rgb="FF000000"/>
        <rFont val="Calibri"/>
        <scheme val="minor"/>
      </rPr>
      <t xml:space="preserve">, which refers to the number of years after which the heating system requires a reinvestment equivalent to the initial investment.
The </t>
    </r>
    <r>
      <rPr>
        <b/>
        <sz val="11"/>
        <color rgb="FF000000"/>
        <rFont val="Calibri"/>
        <scheme val="minor"/>
      </rPr>
      <t>technology mix</t>
    </r>
    <r>
      <rPr>
        <sz val="11"/>
        <color rgb="FF000000"/>
        <rFont val="Calibri"/>
        <scheme val="minor"/>
      </rPr>
      <t xml:space="preserve"> determines how the required heat is produced. Here, the share of total heat demand covered by each technology can be defined.
Next, the </t>
    </r>
    <r>
      <rPr>
        <b/>
        <sz val="11"/>
        <color rgb="FF000000"/>
        <rFont val="Calibri"/>
        <scheme val="minor"/>
      </rPr>
      <t>technology efficiency factors</t>
    </r>
    <r>
      <rPr>
        <sz val="11"/>
        <color rgb="FF000000"/>
        <rFont val="Calibri"/>
        <scheme val="minor"/>
      </rPr>
      <t xml:space="preserve"> must be entered. These values represent the energy conversion efficiencies and are used to calculate the amount of driving energy required. The resulting fuel consumption is shown in the fuel mix section, both in MWh/a and as a percentage. These intermediate results form the basis for the fuel cost and emissions calculations.
The final input section focuses on </t>
    </r>
    <r>
      <rPr>
        <b/>
        <sz val="11"/>
        <color rgb="FF000000"/>
        <rFont val="Calibri"/>
        <scheme val="minor"/>
      </rPr>
      <t>economic parameters</t>
    </r>
    <r>
      <rPr>
        <sz val="11"/>
        <color rgb="FF000000"/>
        <rFont val="Calibri"/>
        <scheme val="minor"/>
      </rPr>
      <t>. For each case, users must define the required investment, the share of the investment that is subsidised (if applicable), and the loan period. Note that equity and the loan interest rate are identical for all cases and are defined in the Boundary Conditions sheet. Lastly, the fixed annual costs must be entered, divided into capacity-dependent costs and fully fixed costs.</t>
    </r>
  </si>
  <si>
    <r>
      <rPr>
        <sz val="11"/>
        <color rgb="FF000000"/>
        <rFont val="Calibri"/>
        <scheme val="minor"/>
      </rPr>
      <t xml:space="preserve">Next, the results are presented. The results include the following values, 
- </t>
    </r>
    <r>
      <rPr>
        <b/>
        <sz val="11"/>
        <color rgb="FF000000"/>
        <rFont val="Calibri"/>
        <scheme val="minor"/>
      </rPr>
      <t>Yearly costs</t>
    </r>
    <r>
      <rPr>
        <sz val="11"/>
        <color rgb="FF000000"/>
        <rFont val="Calibri"/>
        <scheme val="minor"/>
      </rPr>
      <t xml:space="preserve">: The average annual costs over a 20-years period. These are divided into </t>
    </r>
    <r>
      <rPr>
        <b/>
        <sz val="11"/>
        <color rgb="FF000000"/>
        <rFont val="Calibri"/>
        <scheme val="minor"/>
      </rPr>
      <t>variable</t>
    </r>
    <r>
      <rPr>
        <sz val="11"/>
        <color rgb="FF000000"/>
        <rFont val="Calibri"/>
        <scheme val="minor"/>
      </rPr>
      <t xml:space="preserve"> and </t>
    </r>
    <r>
      <rPr>
        <b/>
        <sz val="11"/>
        <color rgb="FF000000"/>
        <rFont val="Calibri"/>
        <scheme val="minor"/>
      </rPr>
      <t>fixed</t>
    </r>
    <r>
      <rPr>
        <sz val="11"/>
        <color rgb="FF000000"/>
        <rFont val="Calibri"/>
        <scheme val="minor"/>
      </rPr>
      <t xml:space="preserve"> costs. 
- </t>
    </r>
    <r>
      <rPr>
        <b/>
        <sz val="11"/>
        <color rgb="FF000000"/>
        <rFont val="Calibri"/>
        <scheme val="minor"/>
      </rPr>
      <t xml:space="preserve">Variable costs: </t>
    </r>
    <r>
      <rPr>
        <sz val="11"/>
        <color rgb="FF000000"/>
        <rFont val="Calibri"/>
        <scheme val="minor"/>
      </rPr>
      <t xml:space="preserve">These consist primarly of </t>
    </r>
    <r>
      <rPr>
        <b/>
        <sz val="11"/>
        <color rgb="FF000000"/>
        <rFont val="Calibri"/>
        <scheme val="minor"/>
      </rPr>
      <t>fuel costs</t>
    </r>
    <r>
      <rPr>
        <sz val="11"/>
        <color rgb="FF000000"/>
        <rFont val="Calibri"/>
        <scheme val="minor"/>
      </rPr>
      <t xml:space="preserve"> (and, where applicable, grid-related costs if they have been integrated into the fuel price). 
- </t>
    </r>
    <r>
      <rPr>
        <b/>
        <sz val="11"/>
        <color rgb="FF000000"/>
        <rFont val="Calibri"/>
        <scheme val="minor"/>
      </rPr>
      <t xml:space="preserve">Fixed costs: </t>
    </r>
    <r>
      <rPr>
        <sz val="11"/>
        <color rgb="FF000000"/>
        <rFont val="Calibri"/>
        <scheme val="minor"/>
      </rPr>
      <t xml:space="preserve">Fixed costs include both the </t>
    </r>
    <r>
      <rPr>
        <b/>
        <sz val="11"/>
        <color rgb="FF000000"/>
        <rFont val="Calibri"/>
        <scheme val="minor"/>
      </rPr>
      <t>investment costs</t>
    </r>
    <r>
      <rPr>
        <sz val="11"/>
        <color rgb="FF000000"/>
        <rFont val="Calibri"/>
        <scheme val="minor"/>
      </rPr>
      <t xml:space="preserve"> and the </t>
    </r>
    <r>
      <rPr>
        <b/>
        <sz val="11"/>
        <color rgb="FF000000"/>
        <rFont val="Calibri"/>
        <scheme val="minor"/>
      </rPr>
      <t>fixed operating and maintenance costs</t>
    </r>
    <r>
      <rPr>
        <sz val="11"/>
        <color rgb="FF000000"/>
        <rFont val="Calibri"/>
        <scheme val="minor"/>
      </rPr>
      <t xml:space="preserve"> of the system. In most cases, the investment cost component represents the largest share of fixed costs. Therefore, an additional row—"thereof investment costs"—indicates the average annualised investment cost.
Using the calculated annual heat costs and the corresponding heat supplied, the tool determines the effective heat costs.
The results table also shows the effective heat cost ratio, expressed as the percentage deviation from the district heating (DH) reference system, which is set at 100%. In addition, the tool calculates the </t>
    </r>
    <r>
      <rPr>
        <b/>
        <sz val="11"/>
        <color rgb="FF000000"/>
        <rFont val="Calibri"/>
        <scheme val="minor"/>
      </rPr>
      <t>annual CO₂-equivalent emissions</t>
    </r>
    <r>
      <rPr>
        <sz val="11"/>
        <color rgb="FF000000"/>
        <rFont val="Calibri"/>
        <scheme val="minor"/>
      </rPr>
      <t>, expressed in tonnes per year.
Selected results from the table are also visualised in two different diagrams.</t>
    </r>
  </si>
  <si>
    <t>Additional explanatory notes</t>
  </si>
  <si>
    <t>Average investment costs</t>
  </si>
  <si>
    <r>
      <rPr>
        <sz val="11"/>
        <color rgb="FF000000"/>
        <rFont val="Calibri"/>
        <scheme val="minor"/>
      </rPr>
      <t xml:space="preserve">To ensure a fair comparison, the states of all heat production systems are assumed to be equivalent at the beginning and end of the considered period (20 years, as noted above). In this context, all technical solutions use the same amount of available capital to finance the investment, except in cases where the required investment is less than the available equity—in such cases, no loan is needed.
At the end of year 20, the tool accounts for remaining payments and the residual value of the installation as follows:
</t>
    </r>
    <r>
      <rPr>
        <b/>
        <sz val="11"/>
        <color rgb="FF000000"/>
        <rFont val="Calibri"/>
        <scheme val="minor"/>
      </rPr>
      <t>Remaining annual payments</t>
    </r>
    <r>
      <rPr>
        <sz val="11"/>
        <color rgb="FF000000"/>
        <rFont val="Calibri"/>
        <scheme val="minor"/>
      </rPr>
      <t xml:space="preserve">: All outstanding payments are made; no discounting is applied, i.e., interest is also paid.
</t>
    </r>
    <r>
      <rPr>
        <b/>
        <sz val="11"/>
        <color rgb="FF000000"/>
        <rFont val="Calibri"/>
        <scheme val="minor"/>
      </rPr>
      <t>Residual value</t>
    </r>
    <r>
      <rPr>
        <sz val="11"/>
        <color rgb="FF000000"/>
        <rFont val="Calibri"/>
        <scheme val="minor"/>
      </rPr>
      <t>: The installation is “sold” at its residual value, calculated by assuming linear depreciation over its lifetime. For example, a component that has reached half of its lifetime is assumed to retain 50% of its initial investment value (excluding any subsidy).</t>
    </r>
  </si>
  <si>
    <t>Fill in yellow colored cells, i.e. input cells --&gt;</t>
  </si>
  <si>
    <t>Do not overwrite white cells formulas --&gt;</t>
  </si>
  <si>
    <t>Currency</t>
  </si>
  <si>
    <t>EUR</t>
  </si>
  <si>
    <t>Economic boundary conditions</t>
  </si>
  <si>
    <t>Value</t>
  </si>
  <si>
    <t>Unit</t>
  </si>
  <si>
    <t>Available capital (= max Equity)</t>
  </si>
  <si>
    <t>Fuel data</t>
  </si>
  <si>
    <t>Loan interest rate</t>
  </si>
  <si>
    <t>[%]</t>
  </si>
  <si>
    <t>Fuel type</t>
  </si>
  <si>
    <t>Parameters</t>
  </si>
  <si>
    <t>Notes</t>
  </si>
  <si>
    <t>Biomass (pellets)</t>
  </si>
  <si>
    <t xml:space="preserve">Net heating value </t>
  </si>
  <si>
    <t>[kWh/kg]</t>
  </si>
  <si>
    <r>
      <t xml:space="preserve">The Austrian energy agency (reference 3) provides net (lower) heating value of 5.27 for dry mass and 4.8 kWh for fresh mass of compressed wood (wood pellets). (*According to ÖNORM M 7135, the moisture content of compressed wood must be </t>
    </r>
    <r>
      <rPr>
        <sz val="11"/>
        <color theme="1"/>
        <rFont val="Aptos Narrow"/>
        <family val="2"/>
      </rPr>
      <t>≤</t>
    </r>
    <r>
      <rPr>
        <sz val="11"/>
        <color theme="1"/>
        <rFont val="Calibri"/>
        <family val="2"/>
        <scheme val="minor"/>
      </rPr>
      <t>10%). Additionally, reference 1) analyzed 21 wood pellet samples from different countries. The observed minimum, maximum and average net heating values were 5.17, 5.39 and 5.28 kWh/kg, respectively.
Reference 2) provides price indices for pellets in Austria. According to this source, the pellet price in Austria at 1.11.2025 is 356 €/t (based on a purchase of 6 tonnes). Historical prices ranged from a maximum of 634 €/t in October 2022 to a minimum of 232 €/t in April 2019. 
Other sources, such as reference 8), report higher prices. For example, 1050 kg pellets (5.3 - 4.9 kWh/kg) cost around 629 EUR (gross price, including transport), corresponding to approximately 0.599 EUR/kg or 122-113 EUR/kWh (gross).
The CO</t>
    </r>
    <r>
      <rPr>
        <sz val="11"/>
        <color theme="1"/>
        <rFont val="Calibri"/>
        <family val="2"/>
      </rPr>
      <t>₂</t>
    </r>
    <r>
      <rPr>
        <sz val="11"/>
        <color theme="1"/>
        <rFont val="Calibri"/>
        <family val="2"/>
        <scheme val="minor"/>
      </rPr>
      <t>-equivalent emission factor is assumed to be 39 g/kWh as given in reference 13) for wood pellets (wood-mixture) at 50 kW capacity.</t>
    </r>
  </si>
  <si>
    <t xml:space="preserve"> </t>
  </si>
  <si>
    <t>Fuel price (base year)</t>
  </si>
  <si>
    <t>Averaged price development</t>
  </si>
  <si>
    <t>[%/a]</t>
  </si>
  <si>
    <t>Heat price (base year - NCV)</t>
  </si>
  <si>
    <t>Average heat price 20-years</t>
  </si>
  <si>
    <t xml:space="preserve">CO₂ equivalent emission factor </t>
  </si>
  <si>
    <r>
      <t>[kg CO</t>
    </r>
    <r>
      <rPr>
        <sz val="11"/>
        <color theme="1"/>
        <rFont val="Calibri"/>
        <family val="2"/>
      </rPr>
      <t>₂ eq. /MWh]</t>
    </r>
  </si>
  <si>
    <t>Waste heat</t>
  </si>
  <si>
    <t>Net heating value</t>
  </si>
  <si>
    <t>[kWh/m³]</t>
  </si>
  <si>
    <r>
      <t>The temperature of the waste heat is not predefined. Both the temperature drop and the volume flow rate are case-specific, which makes it difficult to determine kWh/m</t>
    </r>
    <r>
      <rPr>
        <vertAlign val="superscript"/>
        <sz val="11"/>
        <color theme="1"/>
        <rFont val="Calibri"/>
        <family val="2"/>
        <scheme val="minor"/>
      </rPr>
      <t>3</t>
    </r>
    <r>
      <rPr>
        <sz val="11"/>
        <color theme="1"/>
        <rFont val="Calibri"/>
        <family val="2"/>
        <scheme val="minor"/>
      </rPr>
      <t xml:space="preserve"> and the associated price in advance. Therefore, the heat price for the base year must be entered directly. 
The CO₂-equivalent emission factor is assumed to be 22 g/kWh, as specified in reference 15).</t>
    </r>
  </si>
  <si>
    <t>Heat price (base year)</t>
  </si>
  <si>
    <t>Biomass (wood chips)</t>
  </si>
  <si>
    <r>
      <t>[kWh/m</t>
    </r>
    <r>
      <rPr>
        <sz val="11"/>
        <color theme="1"/>
        <rFont val="Calibri"/>
        <family val="2"/>
      </rPr>
      <t>³ (loose)</t>
    </r>
    <r>
      <rPr>
        <sz val="11"/>
        <color theme="1"/>
        <rFont val="Calibri"/>
        <family val="2"/>
        <scheme val="minor"/>
      </rPr>
      <t>]</t>
    </r>
  </si>
  <si>
    <r>
      <t>The net heating value for a specific wood mix can be calculated using the Excel tool referenced in 3). An exemple value of 893 kWh/m³ corresponds to a mixture "pine" and "wood chips" with 30 % moisture content. The net (lower) heating value per kilogram of dry mass is 5.27 kWh/kg, and per kilogram of fresh mass is 3.49 kWh/kg (i.e. 256 kg/m</t>
    </r>
    <r>
      <rPr>
        <vertAlign val="superscript"/>
        <sz val="11"/>
        <color theme="1"/>
        <rFont val="Calibri"/>
        <family val="2"/>
        <scheme val="minor"/>
      </rPr>
      <t>3</t>
    </r>
    <r>
      <rPr>
        <sz val="11"/>
        <color theme="1"/>
        <rFont val="Calibri"/>
        <family val="2"/>
        <scheme val="minor"/>
      </rPr>
      <t>) 
The CO₂-equivalent emission factor is assumed to be 10 g/kWh as given in reference 13) for wood chips derived mixed forest wood.</t>
    </r>
  </si>
  <si>
    <t>Natural gas</t>
  </si>
  <si>
    <r>
      <t>Natural gas is a mixture of gases, with methane as the predominant component. Its net heating value in the "Marktgebiet Ost" region is 11.33 kWh/m</t>
    </r>
    <r>
      <rPr>
        <vertAlign val="superscript"/>
        <sz val="11"/>
        <color theme="1"/>
        <rFont val="Calibri"/>
        <family val="2"/>
        <scheme val="minor"/>
      </rPr>
      <t>3</t>
    </r>
    <r>
      <rPr>
        <sz val="11"/>
        <color theme="1"/>
        <rFont val="Calibri"/>
        <family val="2"/>
        <scheme val="minor"/>
      </rPr>
      <t>, according to reference 11).
Information on the current natural gas prices in Austria can be found on the E-Control website (reference 9). 
The CO₂ equivalent emission factor is assumed to be 247 g/kWh, as given in reference 14). Further details on this value are procided in reference 13).</t>
    </r>
  </si>
  <si>
    <t>Oil</t>
  </si>
  <si>
    <t>[kWh/l]</t>
  </si>
  <si>
    <t>Current and historical data on oil prices in Austria can be found in reference 12). Since 2022, oil prices have no fallen below 1 EUR/l.
The CO₂ equivalent emission factor is assumed to be 310 g/kWh as given in reference 14). Further details on this value are provided in reference 13).</t>
  </si>
  <si>
    <t>(heating oil)</t>
  </si>
  <si>
    <t>Coal</t>
  </si>
  <si>
    <t>An exemple net heating value of 8.06 kWh/kg for bituminous coal is reported in reference 6). 
According to reference 8), the gross price of bituminous coal ("Steinkohle"), including transport, is approximately 0.94 EUR/kg. The fuel supplier guarantees a minimm net heating value up to 8 kWh/kg.
Lignite ("Braunkohle") is slightly cheaper but has a lower net heating value. Prices and net heating values for lignite coal are also provided in reference 8).
The CO₂ equivalent emission factor is assumed to be 375 g/kWh, as given in reference 14). Further details on this value are provided in reference 13).</t>
  </si>
  <si>
    <t>Electricity</t>
  </si>
  <si>
    <r>
      <t>[kWh/kWh</t>
    </r>
    <r>
      <rPr>
        <vertAlign val="subscript"/>
        <sz val="11"/>
        <color theme="1"/>
        <rFont val="Calibri"/>
        <family val="2"/>
        <scheme val="minor"/>
      </rPr>
      <t>el</t>
    </r>
    <r>
      <rPr>
        <sz val="11"/>
        <color theme="1"/>
        <rFont val="Calibri"/>
        <family val="2"/>
        <scheme val="minor"/>
      </rPr>
      <t>]</t>
    </r>
  </si>
  <si>
    <t>Electricity prices in Austria can be consulted in E-Control website (reference 10). At the European level, sources such as 16) (e.g. the Data Dashborad on Energy Prices and the Report on energy prices and costs in Europe) provide detailed information. Reference 17) also offers a good overview on electricity prices. 
The CO₂ equivalent emission factor is assumed to be 74 g/kWh, as given in reference 15) for the period 2026-2035.</t>
  </si>
  <si>
    <t>(supply mix)</t>
  </si>
  <si>
    <r>
      <t>CO</t>
    </r>
    <r>
      <rPr>
        <sz val="11"/>
        <color theme="1"/>
        <rFont val="Calibri"/>
        <family val="2"/>
      </rPr>
      <t>₂</t>
    </r>
    <r>
      <rPr>
        <sz val="11"/>
        <color theme="1"/>
        <rFont val="Calibri"/>
        <family val="2"/>
        <scheme val="minor"/>
      </rPr>
      <t xml:space="preserve"> equivalent emission factor </t>
    </r>
  </si>
  <si>
    <t>n°</t>
  </si>
  <si>
    <t>Reference list</t>
  </si>
  <si>
    <t>1)</t>
  </si>
  <si>
    <t>Obernberger, I. Thek, G. Physical characterisation and chemical composition of densified biomass fuels with regard to their combustion behaviour. Biomass and Bioenergy 27 (2004)</t>
  </si>
  <si>
    <t>2)</t>
  </si>
  <si>
    <t>proPellets Austria. https://www.propellets.at/aktuelle-pelletpreise</t>
  </si>
  <si>
    <t>3)</t>
  </si>
  <si>
    <t>Solid Biomass fuel parameters calculation tool v1.8. Austrian energy agency</t>
  </si>
  <si>
    <t>4)</t>
  </si>
  <si>
    <t>Land- und Forstwirtschaftliche Erzeugerpreise. Statistik Austria</t>
  </si>
  <si>
    <t>5)</t>
  </si>
  <si>
    <t>Landwirtschaftskammer Niederösterreich: Energieholzindex</t>
  </si>
  <si>
    <t>6)</t>
  </si>
  <si>
    <t>Fuels - Higher and Lower calorific values. The engineering ToolBox. https://www.engineeringtoolbox.com/fuels-higher-calorific-values-d_169.html</t>
  </si>
  <si>
    <t>7)</t>
  </si>
  <si>
    <t>Energiepreise im Vergleich. Energieinstitut Vorarlberg. https://www.energieinstitut.at/buerger/haustechnik-energieversorgung/energiepreise-im-vergleich/</t>
  </si>
  <si>
    <t>8)</t>
  </si>
  <si>
    <t>https://www.brennstoffe.kaufen/</t>
  </si>
  <si>
    <t>9)</t>
  </si>
  <si>
    <t>https://www.e-control.at/gewerbe-gaspreis-monitor</t>
  </si>
  <si>
    <t>10)</t>
  </si>
  <si>
    <t>https://www.e-control.at/gewerbe-strompreis-monitor</t>
  </si>
  <si>
    <t>11)</t>
  </si>
  <si>
    <t>Gas-Systemnutzungsentgelte-Verordnung 2013, GSNE-VO 2013, Fassung vom 15.06.2020</t>
  </si>
  <si>
    <t>12)</t>
  </si>
  <si>
    <t>https://www.heizoel24.at/charts/heizoel</t>
  </si>
  <si>
    <t>13)</t>
  </si>
  <si>
    <t>Erläuternde Bemerkungen OIB-RL 6. Energieeinsparung und Wärmeschutz. OIB-220.6-027/19. April 2019</t>
  </si>
  <si>
    <t>14)</t>
  </si>
  <si>
    <t>OIB-Richtlinie 6. Energieeinsparung und Wärmeschutz. OIB-330.6-026/19. April 2019</t>
  </si>
  <si>
    <t>15)</t>
  </si>
  <si>
    <t>Erläuternde Bemerkungen OIB-RL 6. Energieeinsparung und Wärmeschutz. OIB-330.6-140/25. September 2025</t>
  </si>
  <si>
    <t>16)</t>
  </si>
  <si>
    <t>European comission. Energy prices and costs in Europe. https://energy.ec.europa.eu/data-and-analysis/energy-prices-and-costs-europe_en</t>
  </si>
  <si>
    <t>17)</t>
  </si>
  <si>
    <t>EMBER. https://ember-energy.org/data/european-wholesale-electricity-price-data/</t>
  </si>
  <si>
    <t>Fill in yellow-colored cells, which are designated for user input. Other cells should not be edited --&gt;</t>
  </si>
  <si>
    <t>Description</t>
  </si>
  <si>
    <t>Heating system</t>
  </si>
  <si>
    <t>Technical parameters</t>
  </si>
  <si>
    <t>DH system (reference)</t>
  </si>
  <si>
    <t>Waste heat + Heat pump</t>
  </si>
  <si>
    <t>Biomass boiler + Solar thermal</t>
  </si>
  <si>
    <t>Biomass boiler (wood chips)</t>
  </si>
  <si>
    <t>Ambient/Geothermal + heat pump</t>
  </si>
  <si>
    <t>Custom 1</t>
  </si>
  <si>
    <t>Custom 2</t>
  </si>
  <si>
    <t>Custom 3</t>
  </si>
  <si>
    <t>Custom 4</t>
  </si>
  <si>
    <t>Custom 5</t>
  </si>
  <si>
    <t>The heat production capacity in MW is primarly used to calculate capacity-dependent fixed costs (see row 67). Optionally, it can also be used to define size-dependent investment costs. 
The installation lifetime (years): The lifetime should be at least 10 years. If a value below 10 is entered, the cell will be highlighted in red, and the value will be automatically corrected to 10 years in the background.</t>
  </si>
  <si>
    <t>Heat demand (heat produced)</t>
  </si>
  <si>
    <t>[MWh/a]</t>
  </si>
  <si>
    <t>Heat production capacity</t>
  </si>
  <si>
    <t>[MW]</t>
  </si>
  <si>
    <t>Installation lifetime</t>
  </si>
  <si>
    <t>[a]</t>
  </si>
  <si>
    <t>Technology mix</t>
  </si>
  <si>
    <t>Pellets boiler</t>
  </si>
  <si>
    <t>This section is used to define the origin of the heat. For the heat pump case, two scenarios are considered:
1. Using waste heat as the source
2. Using ambient heat (air and/or geothermal) as the source
The actual amounts of electricity and waste heat consumed will be calculated later, once the COP (Coefficient of Performance) of the heat pump is specified.</t>
  </si>
  <si>
    <t>Wood chips boiler</t>
  </si>
  <si>
    <t>Heat pump (source: waste heat)</t>
  </si>
  <si>
    <t>Heat pump (source: ambient/geothermal)</t>
  </si>
  <si>
    <t>Waste heat (direct use)</t>
  </si>
  <si>
    <t>Solar thermal</t>
  </si>
  <si>
    <t xml:space="preserve">P2H </t>
  </si>
  <si>
    <t>Gas boiler</t>
  </si>
  <si>
    <t>Oil boiler</t>
  </si>
  <si>
    <t>Coal boiler</t>
  </si>
  <si>
    <t>*Check</t>
  </si>
  <si>
    <t>Technology efficiency factors (yearly averaged values)</t>
  </si>
  <si>
    <t>[-]</t>
  </si>
  <si>
    <t>This section accounts for the efficiency of the energy conversion process, i.e., it calculates the amount of primary energy (electricity, gas, biomass, etc.) required to produce the useful heat supplied to the district heating network.</t>
  </si>
  <si>
    <t>Heat pump COP (source: waste heat)</t>
  </si>
  <si>
    <t>Heat pump COP (source: ambient/geothermal)</t>
  </si>
  <si>
    <t>Solar thermal electricity consumption</t>
  </si>
  <si>
    <r>
      <t>[kWh</t>
    </r>
    <r>
      <rPr>
        <vertAlign val="subscript"/>
        <sz val="11"/>
        <color theme="1"/>
        <rFont val="Calibri"/>
        <family val="2"/>
        <scheme val="minor"/>
      </rPr>
      <t>el</t>
    </r>
    <r>
      <rPr>
        <sz val="11"/>
        <color theme="1"/>
        <rFont val="Calibri"/>
        <family val="2"/>
        <scheme val="minor"/>
      </rPr>
      <t>/kWh</t>
    </r>
    <r>
      <rPr>
        <vertAlign val="subscript"/>
        <sz val="11"/>
        <color theme="1"/>
        <rFont val="Calibri"/>
        <family val="2"/>
        <scheme val="minor"/>
      </rPr>
      <t>th</t>
    </r>
    <r>
      <rPr>
        <sz val="11"/>
        <color theme="1"/>
        <rFont val="Calibri"/>
        <family val="2"/>
        <scheme val="minor"/>
      </rPr>
      <t>]</t>
    </r>
  </si>
  <si>
    <t>Fuel mix (intermediate results)</t>
  </si>
  <si>
    <t>Pellets</t>
  </si>
  <si>
    <t>This section displays intermediate results, specifically the fuel mix in MWh/a. These values are calculated based on the parameters defined above, primarily the heat demand, technology mix, and efficiency factors.</t>
  </si>
  <si>
    <t>Wood chips</t>
  </si>
  <si>
    <t>Gas</t>
  </si>
  <si>
    <t>Energy input</t>
  </si>
  <si>
    <t>Annual efficiency (Heat delivered/Energy input)</t>
  </si>
  <si>
    <t>This section shows intermediate results, specifically the fuel mix expressed as a percentage of the total energy supplied.</t>
  </si>
  <si>
    <t>Biomass</t>
  </si>
  <si>
    <t>Thereof …</t>
  </si>
  <si>
    <t>Fossil fuel</t>
  </si>
  <si>
    <t>Investment</t>
  </si>
  <si>
    <t>Investment (without subsidy)</t>
  </si>
  <si>
    <t>Investment Costs (without subsidy): It is recommended to adapt investment costs to local prices. These costs should be redefined whenever system capacities change (e.g., moving from small to large systems), unless investment costs are defined as a function of installed capacity. Estimating costs at early planning stages can be challenging. In addition to own experience, technical catalogues (e.g., references 1 and 2) or technology-specific publications (e.g., references 3, 4, and 5) can be helpful.
Investment costs should include the heat production units and any additional necessary equipment (e.g., fuel silos). To ensure a fair comparison, the system boundaries must be clearly defined and applied equally across all systems.
Loan Period: The loan period is calculated based on the investment to keep the consumer effort (annuity) comparable across different heating systems. The loan period is limited by the installation lifetime.
Equivalent CO₂ Emission Factor: This is calculated based on the fuel mix of the system.</t>
  </si>
  <si>
    <t>Subsidy on investment</t>
  </si>
  <si>
    <t>Equity</t>
  </si>
  <si>
    <t>Invest to be financed</t>
  </si>
  <si>
    <t>Loan period</t>
  </si>
  <si>
    <t>Averaged investment annuity payments (-residual value)</t>
  </si>
  <si>
    <t>Economic parameters</t>
  </si>
  <si>
    <t>Fixed costs</t>
  </si>
  <si>
    <t>Fixed costs (capacity dependent)</t>
  </si>
  <si>
    <t>Variable costs (e.g. O&amp;M - additional to fuel costs, related to energy input)</t>
  </si>
  <si>
    <t>Averaged variable costs (fuel costs)</t>
  </si>
  <si>
    <t xml:space="preserve">Total variable costs </t>
  </si>
  <si>
    <t>CO₂ equivalent emission factor (technology mix)</t>
  </si>
  <si>
    <r>
      <t>Emissions of CO</t>
    </r>
    <r>
      <rPr>
        <sz val="11"/>
        <color theme="1"/>
        <rFont val="Calibri"/>
        <family val="2"/>
      </rPr>
      <t>₂</t>
    </r>
    <r>
      <rPr>
        <sz val="9.35"/>
        <color theme="1"/>
        <rFont val="Calibri"/>
        <family val="2"/>
      </rPr>
      <t xml:space="preserve"> </t>
    </r>
    <r>
      <rPr>
        <sz val="11"/>
        <color theme="1"/>
        <rFont val="Calibri"/>
        <family val="2"/>
      </rPr>
      <t>equivalent</t>
    </r>
  </si>
  <si>
    <t>[t/a]</t>
  </si>
  <si>
    <r>
      <t>Savings of CO</t>
    </r>
    <r>
      <rPr>
        <sz val="11"/>
        <color theme="1"/>
        <rFont val="Calibri"/>
        <family val="2"/>
      </rPr>
      <t>₂</t>
    </r>
    <r>
      <rPr>
        <sz val="9.35"/>
        <color theme="1"/>
        <rFont val="Calibri"/>
        <family val="2"/>
      </rPr>
      <t xml:space="preserve"> </t>
    </r>
    <r>
      <rPr>
        <sz val="11"/>
        <color theme="1"/>
        <rFont val="Calibri"/>
        <family val="2"/>
      </rPr>
      <t>equivalent</t>
    </r>
    <r>
      <rPr>
        <sz val="11"/>
        <color theme="1"/>
        <rFont val="Calibri"/>
        <family val="2"/>
        <scheme val="minor"/>
      </rPr>
      <t xml:space="preserve"> respect to reference</t>
    </r>
  </si>
  <si>
    <r>
      <t>Taxable (fossil fuel) emissions of CO</t>
    </r>
    <r>
      <rPr>
        <sz val="11"/>
        <color theme="1"/>
        <rFont val="Calibri"/>
        <family val="2"/>
      </rPr>
      <t>₂</t>
    </r>
    <r>
      <rPr>
        <sz val="9.35"/>
        <color theme="1"/>
        <rFont val="Calibri"/>
        <family val="2"/>
      </rPr>
      <t xml:space="preserve"> </t>
    </r>
    <r>
      <rPr>
        <sz val="11"/>
        <color theme="1"/>
        <rFont val="Calibri"/>
        <family val="2"/>
      </rPr>
      <t>equivalent</t>
    </r>
  </si>
  <si>
    <r>
      <t>CO</t>
    </r>
    <r>
      <rPr>
        <b/>
        <vertAlign val="subscript"/>
        <sz val="11"/>
        <color theme="1"/>
        <rFont val="Calibri"/>
        <family val="2"/>
        <scheme val="minor"/>
      </rPr>
      <t>2</t>
    </r>
    <r>
      <rPr>
        <b/>
        <sz val="11"/>
        <color theme="1"/>
        <rFont val="Calibri"/>
        <family val="2"/>
        <scheme val="minor"/>
      </rPr>
      <t xml:space="preserve"> tax</t>
    </r>
  </si>
  <si>
    <r>
      <t>Carbon tax: Applied to emissions of CO</t>
    </r>
    <r>
      <rPr>
        <vertAlign val="subscript"/>
        <sz val="11"/>
        <color theme="1"/>
        <rFont val="Calibri"/>
        <family val="2"/>
        <scheme val="minor"/>
      </rPr>
      <t>2</t>
    </r>
    <r>
      <rPr>
        <sz val="11"/>
        <color theme="1"/>
        <rFont val="Calibri"/>
        <family val="2"/>
        <scheme val="minor"/>
      </rPr>
      <t xml:space="preserve"> equivalent of fossil fuel heat production and waste heat. </t>
    </r>
  </si>
  <si>
    <t>Results</t>
  </si>
  <si>
    <t>Results notes</t>
  </si>
  <si>
    <t>Yearly costs</t>
  </si>
  <si>
    <t>Variable costs</t>
  </si>
  <si>
    <r>
      <t>Of which CO</t>
    </r>
    <r>
      <rPr>
        <i/>
        <vertAlign val="subscript"/>
        <sz val="11"/>
        <color theme="1"/>
        <rFont val="Calibri"/>
        <family val="2"/>
        <scheme val="minor"/>
      </rPr>
      <t xml:space="preserve">2 </t>
    </r>
    <r>
      <rPr>
        <i/>
        <sz val="11"/>
        <color theme="1"/>
        <rFont val="Calibri"/>
        <family val="2"/>
        <scheme val="minor"/>
      </rPr>
      <t>equivalent emissions costs</t>
    </r>
  </si>
  <si>
    <t>Of which investment costs</t>
  </si>
  <si>
    <t>Share fixed costs</t>
  </si>
  <si>
    <t>Share variable costs</t>
  </si>
  <si>
    <t>Effective heat production costs</t>
  </si>
  <si>
    <t>KEA Klimaschutz- und Energieagentur Baden-Württemberg GmbH. https://www.kea-bw.de/waermewende/angebote/downloads.</t>
  </si>
  <si>
    <t>Danish Energy Agency. https://ens.dk/en/analyses-and-statistics/technology-catalogues</t>
  </si>
  <si>
    <t>Rieberer, R., et al. Industrial Heat Pumps, Second Phase. IEA Heat Pump Technology (HPT) Programme Annex 48. Task 4: Training materials for industrial heat pumps. August 2019.</t>
  </si>
  <si>
    <t>Benjamin, Z. et al. High-Temperature Heat Pumps. Task 1 – Technologies. IEA Heat Pump Technology (HPT) Programme Annex 58. Report no. HPT-AN58-2. August 2023.</t>
  </si>
  <si>
    <t>Solar Heat and Energy Economics in Urban Environments. IEA SHC Task 52. Subtask B and C. https://task52.iea-shc.org/.</t>
  </si>
  <si>
    <t>This sheet contains supporting calculations for the tool and is not intended to be changed by the user.</t>
  </si>
  <si>
    <t>Fuel types</t>
  </si>
  <si>
    <t>CHF</t>
  </si>
  <si>
    <t>PLN</t>
  </si>
  <si>
    <t>CZK</t>
  </si>
  <si>
    <r>
      <t>[m</t>
    </r>
    <r>
      <rPr>
        <sz val="11"/>
        <color theme="1"/>
        <rFont val="Calibri"/>
        <family val="2"/>
      </rPr>
      <t>³</t>
    </r>
    <r>
      <rPr>
        <sz val="11"/>
        <color theme="1"/>
        <rFont val="Calibri"/>
        <family val="2"/>
        <scheme val="minor"/>
      </rPr>
      <t>/a]</t>
    </r>
  </si>
  <si>
    <r>
      <t>[EUR/m</t>
    </r>
    <r>
      <rPr>
        <sz val="11"/>
        <color theme="1"/>
        <rFont val="Calibri"/>
        <family val="2"/>
      </rPr>
      <t>³</t>
    </r>
    <r>
      <rPr>
        <sz val="11"/>
        <color theme="1"/>
        <rFont val="Calibri"/>
        <family val="2"/>
        <scheme val="minor"/>
      </rPr>
      <t>]</t>
    </r>
  </si>
  <si>
    <t>[CHF/m³]</t>
  </si>
  <si>
    <t>[PLN/m³]</t>
  </si>
  <si>
    <t>[CZK/m³]</t>
  </si>
  <si>
    <t>[EUR/a]</t>
  </si>
  <si>
    <t>[CHF/a]</t>
  </si>
  <si>
    <t>[PLN/a]</t>
  </si>
  <si>
    <t>[CZK/a]</t>
  </si>
  <si>
    <t>Basic charge</t>
  </si>
  <si>
    <t>[l/a]</t>
  </si>
  <si>
    <t>[EUR/l]</t>
  </si>
  <si>
    <t>[CHF/l]</t>
  </si>
  <si>
    <t>[PLN/l]</t>
  </si>
  <si>
    <t>[CZK/l]</t>
  </si>
  <si>
    <t>[EUR/(MW.a)]</t>
  </si>
  <si>
    <t>[CHF/(MW.a)]</t>
  </si>
  <si>
    <t>[PLN/(MW.a)]</t>
  </si>
  <si>
    <t>[CZK/(MW.a)]</t>
  </si>
  <si>
    <t>Meter charge</t>
  </si>
  <si>
    <t>[kg/a]</t>
  </si>
  <si>
    <t>[EUR/kg]</t>
  </si>
  <si>
    <t>[CHF/kg]</t>
  </si>
  <si>
    <t>[PLN/kg]</t>
  </si>
  <si>
    <t>[CZK/kg]</t>
  </si>
  <si>
    <t>[EUR/MWh]</t>
  </si>
  <si>
    <t>[CHF/MWh]</t>
  </si>
  <si>
    <t>[PLN/MWh]</t>
  </si>
  <si>
    <t>[CZK/MWh]</t>
  </si>
  <si>
    <t>Energy charge</t>
  </si>
  <si>
    <r>
      <t>[kWh</t>
    </r>
    <r>
      <rPr>
        <vertAlign val="subscript"/>
        <sz val="11"/>
        <color theme="1"/>
        <rFont val="Calibri"/>
        <family val="2"/>
        <scheme val="minor"/>
      </rPr>
      <t>el</t>
    </r>
    <r>
      <rPr>
        <sz val="11"/>
        <color theme="1"/>
        <rFont val="Calibri"/>
        <family val="2"/>
        <scheme val="minor"/>
      </rPr>
      <t>/a]</t>
    </r>
  </si>
  <si>
    <r>
      <t>[EUR/MWh</t>
    </r>
    <r>
      <rPr>
        <vertAlign val="subscript"/>
        <sz val="11"/>
        <color theme="1"/>
        <rFont val="Calibri"/>
        <family val="2"/>
        <scheme val="minor"/>
      </rPr>
      <t>el</t>
    </r>
    <r>
      <rPr>
        <sz val="11"/>
        <color theme="1"/>
        <rFont val="Calibri"/>
        <family val="2"/>
        <scheme val="minor"/>
      </rPr>
      <t>]</t>
    </r>
  </si>
  <si>
    <t>[CHF/MWhel]</t>
  </si>
  <si>
    <t>[PLN/MWhel]</t>
  </si>
  <si>
    <t>[CZK/MWhel]</t>
  </si>
  <si>
    <t>[EUR]</t>
  </si>
  <si>
    <t>[CHF]</t>
  </si>
  <si>
    <t>[PLN]</t>
  </si>
  <si>
    <t>[CZK]</t>
  </si>
  <si>
    <t>[m³ (loose)/a]</t>
  </si>
  <si>
    <t>[EUR/m³ (loose)]</t>
  </si>
  <si>
    <t>[CHF/m³ (loose)]</t>
  </si>
  <si>
    <t>[PLN/m³ (loose)]</t>
  </si>
  <si>
    <t>[CZK/m³ (loose)]</t>
  </si>
  <si>
    <t>Maintenance costs</t>
  </si>
  <si>
    <t>Condensing boiler</t>
  </si>
  <si>
    <t>Fuel price [EUR/MWh]</t>
  </si>
  <si>
    <t>Fuel price [CHF/MWh]</t>
  </si>
  <si>
    <t>Fuel price [PLN/MWh]</t>
  </si>
  <si>
    <t>Fuel price [CZK/MWh]</t>
  </si>
  <si>
    <t>Effective heating cost</t>
  </si>
  <si>
    <t>Averaged investment costs</t>
  </si>
  <si>
    <t>[EUR/t]</t>
  </si>
  <si>
    <t>[CHF/t]</t>
  </si>
  <si>
    <t>[PLN/t]</t>
  </si>
  <si>
    <t>[CZK/t]</t>
  </si>
  <si>
    <t>There of.. Financing costs</t>
  </si>
  <si>
    <t>Effective heat cost</t>
  </si>
  <si>
    <t>Currency start at column</t>
  </si>
  <si>
    <t>Currency selected</t>
  </si>
  <si>
    <t>Column</t>
  </si>
  <si>
    <t>Column HeatSupplyT</t>
  </si>
  <si>
    <t>Year n°</t>
  </si>
  <si>
    <t>Fuel type \ year</t>
  </si>
  <si>
    <t>Avg - 10 years</t>
  </si>
  <si>
    <t>Avg - 20 years</t>
  </si>
  <si>
    <t>Biomass (wood log)</t>
  </si>
  <si>
    <t>N. gas</t>
  </si>
  <si>
    <t>Currencies</t>
  </si>
  <si>
    <t>Name</t>
  </si>
  <si>
    <t>Symbol</t>
  </si>
  <si>
    <t>CODE (ISO 4217)</t>
  </si>
  <si>
    <t>Euro</t>
  </si>
  <si>
    <t>€</t>
  </si>
  <si>
    <t>Swiss franc</t>
  </si>
  <si>
    <t>Fr.</t>
  </si>
  <si>
    <t>Polish Złoty</t>
  </si>
  <si>
    <t>zł</t>
  </si>
  <si>
    <t>Czech Koruna</t>
  </si>
  <si>
    <t xml:space="preserve">Kč </t>
  </si>
  <si>
    <t>Interest rate</t>
  </si>
  <si>
    <t>Predefined heating systems</t>
  </si>
  <si>
    <t>Subsidy</t>
  </si>
  <si>
    <t xml:space="preserve">Amount to be financed </t>
  </si>
  <si>
    <t>Loan period [a]</t>
  </si>
  <si>
    <t>Lifetime [a]</t>
  </si>
  <si>
    <t>Installation whole "lifes" used in 20 years</t>
  </si>
  <si>
    <t>Life remaining installation (lim+ t-&gt;20)</t>
  </si>
  <si>
    <t>Annuity (with subsidy)</t>
  </si>
  <si>
    <t>Annuity due to reinvestment (without subsidy)</t>
  </si>
  <si>
    <t>Total amount to be payed (reinvest)</t>
  </si>
  <si>
    <t>Value use to calculate the rest value</t>
  </si>
  <si>
    <t>Remaining lifetime installation [a]</t>
  </si>
  <si>
    <t>Rest value installation (linear value deprecation)</t>
  </si>
  <si>
    <t>This value is applied to year = 20</t>
  </si>
  <si>
    <t>"Bonus" at 20 years (Rest value - open payments)</t>
  </si>
  <si>
    <t>As the rest value is considered so are they payments that need to be done after year 20 to fully pay the installation</t>
  </si>
  <si>
    <t>Open payments</t>
  </si>
  <si>
    <t>Annuity + equity</t>
  </si>
  <si>
    <t>Sum of payments</t>
  </si>
  <si>
    <t>Averaged investment</t>
  </si>
  <si>
    <t>Accumulated payments</t>
  </si>
  <si>
    <t>Year</t>
  </si>
  <si>
    <t>Version 17.03.2026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</si>
</sst>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 #,##0.00_-;\-&quot;€&quot;\ * #,##0.00_-;_-&quot;€&quot;\ * &quot;-&quot;??_-;_-@_-"/>
    <numFmt numFmtId="43" formatCode="_-* #,##0.00_-;\-* #,##0.00_-;_-* &quot;-&quot;??_-;_-@_-"/>
    <numFmt numFmtId="164" formatCode="#,##0\ &quot;€&quot;;[Red]\-#,##0\ &quot;€&quot;"/>
    <numFmt numFmtId="165" formatCode="_-* #,##0.00\ _€_-;\-* #,##0.00\ _€_-;_-* &quot;-&quot;??\ _€_-;_-@_-"/>
    <numFmt numFmtId="166" formatCode="0.000"/>
    <numFmt numFmtId="167" formatCode="0.0"/>
    <numFmt numFmtId="168" formatCode="0.0%"/>
    <numFmt numFmtId="169" formatCode="#,##0.0"/>
    <numFmt numFmtId="170" formatCode="_-* #,##0_-;\-* #,##0_-;_-* &quot;-&quot;??_-;_-@_-"/>
  </numFmts>
  <fonts count="31" x14ac:knownFonts="1">
    <font>
      <sz val="11"/>
      <color theme="1"/>
      <name val="Calibri"/>
      <family val="2"/>
      <scheme val="minor"/>
    </font>
    <font>
      <sz val="11"/>
      <color theme="1"/>
      <name val="Calibri"/>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font>
    <font>
      <vertAlign val="subscript"/>
      <sz val="11"/>
      <color theme="1"/>
      <name val="Calibri"/>
      <family val="2"/>
      <scheme val="minor"/>
    </font>
    <font>
      <sz val="16"/>
      <color rgb="FFFF0000"/>
      <name val="Calibri"/>
      <family val="2"/>
      <scheme val="minor"/>
    </font>
    <font>
      <u/>
      <sz val="11"/>
      <color theme="10"/>
      <name val="Calibri"/>
      <family val="2"/>
      <scheme val="minor"/>
    </font>
    <font>
      <b/>
      <sz val="11"/>
      <color rgb="FFFF0000"/>
      <name val="Calibri"/>
      <family val="2"/>
      <scheme val="minor"/>
    </font>
    <font>
      <b/>
      <sz val="11"/>
      <color theme="5"/>
      <name val="Calibri"/>
      <family val="2"/>
      <scheme val="minor"/>
    </font>
    <font>
      <sz val="10"/>
      <name val="Arial"/>
      <family val="2"/>
    </font>
    <font>
      <u/>
      <sz val="10"/>
      <color indexed="12"/>
      <name val="Arial"/>
      <family val="2"/>
    </font>
    <font>
      <sz val="11"/>
      <color indexed="8"/>
      <name val="Calibri"/>
      <family val="2"/>
    </font>
    <font>
      <b/>
      <sz val="14"/>
      <color theme="1"/>
      <name val="Calibri"/>
      <family val="2"/>
      <scheme val="minor"/>
    </font>
    <font>
      <sz val="12"/>
      <color theme="1"/>
      <name val="Calibri"/>
      <family val="2"/>
      <scheme val="minor"/>
    </font>
    <font>
      <b/>
      <sz val="11"/>
      <name val="Calibri"/>
      <family val="2"/>
      <scheme val="minor"/>
    </font>
    <font>
      <vertAlign val="superscript"/>
      <sz val="11"/>
      <color theme="1"/>
      <name val="Calibri"/>
      <family val="2"/>
      <scheme val="minor"/>
    </font>
    <font>
      <sz val="9.35"/>
      <color theme="1"/>
      <name val="Calibri"/>
      <family val="2"/>
    </font>
    <font>
      <i/>
      <sz val="11"/>
      <color theme="1"/>
      <name val="Calibri"/>
      <family val="2"/>
      <scheme val="minor"/>
    </font>
    <font>
      <sz val="11"/>
      <color theme="1"/>
      <name val="Aptos Narrow"/>
      <family val="2"/>
    </font>
    <font>
      <i/>
      <vertAlign val="subscript"/>
      <sz val="11"/>
      <color theme="1"/>
      <name val="Calibri"/>
      <family val="2"/>
      <scheme val="minor"/>
    </font>
    <font>
      <b/>
      <vertAlign val="subscript"/>
      <sz val="11"/>
      <color theme="1"/>
      <name val="Calibri"/>
      <family val="2"/>
      <scheme val="minor"/>
    </font>
    <font>
      <sz val="10"/>
      <color theme="1"/>
      <name val="Calibri"/>
      <family val="2"/>
      <scheme val="minor"/>
    </font>
    <font>
      <b/>
      <sz val="18"/>
      <color theme="1"/>
      <name val="Calibri"/>
      <family val="2"/>
      <scheme val="minor"/>
    </font>
    <font>
      <sz val="11"/>
      <color theme="0" tint="-0.249977111117893"/>
      <name val="Calibri"/>
      <family val="2"/>
      <scheme val="minor"/>
    </font>
    <font>
      <sz val="11"/>
      <color rgb="FFFF0000"/>
      <name val="Calibri"/>
      <scheme val="minor"/>
    </font>
    <font>
      <sz val="11"/>
      <color rgb="FF000000"/>
      <name val="Calibri"/>
      <scheme val="minor"/>
    </font>
    <font>
      <b/>
      <sz val="11"/>
      <color rgb="FF000000"/>
      <name val="Calibri"/>
      <scheme val="minor"/>
    </font>
    <font>
      <b/>
      <sz val="11"/>
      <color rgb="FF000000"/>
      <name val="Calibri"/>
    </font>
    <font>
      <sz val="11"/>
      <color theme="1"/>
      <name val="Calibri"/>
    </font>
  </fonts>
  <fills count="10">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7" tint="0.59999389629810485"/>
        <bgColor indexed="64"/>
      </patternFill>
    </fill>
    <fill>
      <patternFill patternType="solid">
        <fgColor theme="8" tint="0.5999938962981048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style="medium">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s>
  <cellStyleXfs count="10">
    <xf numFmtId="0" fontId="0" fillId="0" borderId="0"/>
    <xf numFmtId="9" fontId="2" fillId="0" borderId="0" applyFont="0" applyFill="0" applyBorder="0" applyAlignment="0" applyProtection="0"/>
    <xf numFmtId="0" fontId="8" fillId="0" borderId="0" applyNumberFormat="0" applyFill="0" applyBorder="0" applyAlignment="0" applyProtection="0"/>
    <xf numFmtId="44" fontId="11" fillId="0" borderId="0" applyFont="0" applyFill="0" applyBorder="0" applyAlignment="0" applyProtection="0"/>
    <xf numFmtId="0" fontId="12" fillId="0" borderId="0" applyNumberFormat="0" applyFill="0" applyBorder="0" applyAlignment="0" applyProtection="0">
      <alignment vertical="top"/>
      <protection locked="0"/>
    </xf>
    <xf numFmtId="165" fontId="13" fillId="0" borderId="0" applyFont="0" applyFill="0" applyBorder="0" applyAlignment="0" applyProtection="0"/>
    <xf numFmtId="9" fontId="13" fillId="0" borderId="0" applyFont="0" applyFill="0" applyBorder="0" applyAlignment="0" applyProtection="0"/>
    <xf numFmtId="0" fontId="15" fillId="0" borderId="0"/>
    <xf numFmtId="165" fontId="15" fillId="0" borderId="0" applyFont="0" applyFill="0" applyBorder="0" applyAlignment="0" applyProtection="0"/>
    <xf numFmtId="43" fontId="2" fillId="0" borderId="0" applyFont="0" applyFill="0" applyBorder="0" applyAlignment="0" applyProtection="0"/>
  </cellStyleXfs>
  <cellXfs count="256">
    <xf numFmtId="0" fontId="0" fillId="0" borderId="0" xfId="0"/>
    <xf numFmtId="0" fontId="0" fillId="2" borderId="1" xfId="0" applyFill="1" applyBorder="1" applyAlignment="1">
      <alignment horizontal="center"/>
    </xf>
    <xf numFmtId="0" fontId="0" fillId="0" borderId="1" xfId="0" applyBorder="1"/>
    <xf numFmtId="3" fontId="0" fillId="0" borderId="1" xfId="0" applyNumberFormat="1" applyBorder="1"/>
    <xf numFmtId="0" fontId="7" fillId="0" borderId="0" xfId="0" applyFont="1"/>
    <xf numFmtId="0" fontId="4" fillId="0" borderId="0" xfId="0" applyFont="1"/>
    <xf numFmtId="0" fontId="0" fillId="0" borderId="1" xfId="0" applyBorder="1" applyAlignment="1">
      <alignment horizontal="right"/>
    </xf>
    <xf numFmtId="0" fontId="0" fillId="0" borderId="1" xfId="0" applyBorder="1" applyAlignment="1">
      <alignment horizontal="left"/>
    </xf>
    <xf numFmtId="0" fontId="0" fillId="0" borderId="0" xfId="0" applyAlignment="1">
      <alignment horizontal="right"/>
    </xf>
    <xf numFmtId="9" fontId="0" fillId="0" borderId="1" xfId="1" applyFont="1" applyBorder="1"/>
    <xf numFmtId="0" fontId="14" fillId="0" borderId="0" xfId="0" applyFont="1" applyAlignment="1">
      <alignment vertical="top"/>
    </xf>
    <xf numFmtId="3" fontId="0" fillId="0" borderId="0" xfId="0" applyNumberFormat="1"/>
    <xf numFmtId="0" fontId="0" fillId="0" borderId="1" xfId="0" applyBorder="1" applyAlignment="1">
      <alignment horizontal="center"/>
    </xf>
    <xf numFmtId="0" fontId="0" fillId="0" borderId="3" xfId="0" applyBorder="1"/>
    <xf numFmtId="0" fontId="0" fillId="0" borderId="6" xfId="0" applyBorder="1"/>
    <xf numFmtId="0" fontId="0" fillId="0" borderId="1" xfId="0" applyBorder="1" applyAlignment="1">
      <alignment horizontal="center" vertical="center"/>
    </xf>
    <xf numFmtId="166" fontId="0" fillId="0" borderId="1" xfId="0" applyNumberFormat="1" applyBorder="1" applyAlignment="1">
      <alignment horizontal="center" vertical="center"/>
    </xf>
    <xf numFmtId="0" fontId="9" fillId="0" borderId="1" xfId="0" applyFont="1" applyBorder="1" applyAlignment="1">
      <alignment horizontal="center"/>
    </xf>
    <xf numFmtId="0" fontId="0" fillId="0" borderId="1" xfId="0" applyBorder="1" applyAlignment="1">
      <alignment horizontal="left" vertical="center"/>
    </xf>
    <xf numFmtId="1" fontId="0" fillId="0" borderId="1" xfId="0" applyNumberFormat="1" applyBorder="1"/>
    <xf numFmtId="164" fontId="0" fillId="0" borderId="0" xfId="0" applyNumberFormat="1"/>
    <xf numFmtId="169" fontId="0" fillId="0" borderId="1" xfId="0" applyNumberFormat="1" applyBorder="1"/>
    <xf numFmtId="9" fontId="0" fillId="0" borderId="1" xfId="1" applyFont="1" applyBorder="1" applyAlignment="1">
      <alignment horizontal="left"/>
    </xf>
    <xf numFmtId="0" fontId="0" fillId="0" borderId="0" xfId="0" applyAlignment="1">
      <alignment horizontal="center"/>
    </xf>
    <xf numFmtId="169" fontId="0" fillId="0" borderId="12" xfId="0" applyNumberFormat="1" applyBorder="1"/>
    <xf numFmtId="0" fontId="0" fillId="0" borderId="2" xfId="0" applyBorder="1"/>
    <xf numFmtId="0" fontId="4" fillId="0" borderId="14" xfId="0" applyFont="1" applyBorder="1" applyAlignment="1">
      <alignment horizontal="center" vertical="center"/>
    </xf>
    <xf numFmtId="0" fontId="0" fillId="3" borderId="1" xfId="0" applyFill="1" applyBorder="1" applyAlignment="1">
      <alignment horizontal="center"/>
    </xf>
    <xf numFmtId="169" fontId="0" fillId="3" borderId="1" xfId="0" applyNumberFormat="1" applyFill="1" applyBorder="1" applyAlignment="1">
      <alignment horizontal="center"/>
    </xf>
    <xf numFmtId="0" fontId="0" fillId="0" borderId="4" xfId="0" applyBorder="1" applyAlignment="1">
      <alignment horizontal="center"/>
    </xf>
    <xf numFmtId="0" fontId="0" fillId="0" borderId="8" xfId="0" applyBorder="1" applyAlignment="1">
      <alignment horizont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16" fillId="0" borderId="21" xfId="0" applyFont="1" applyBorder="1"/>
    <xf numFmtId="0" fontId="16" fillId="5" borderId="12" xfId="0" applyFont="1" applyFill="1" applyBorder="1" applyAlignment="1">
      <alignment horizontal="center" vertical="center"/>
    </xf>
    <xf numFmtId="0" fontId="4" fillId="5" borderId="1" xfId="0" applyFont="1" applyFill="1" applyBorder="1" applyAlignment="1">
      <alignment horizontal="left"/>
    </xf>
    <xf numFmtId="3" fontId="0" fillId="0" borderId="1" xfId="0" applyNumberFormat="1" applyBorder="1" applyAlignment="1">
      <alignment horizontal="right"/>
    </xf>
    <xf numFmtId="0" fontId="0" fillId="0" borderId="0" xfId="0" applyAlignment="1">
      <alignment horizontal="left"/>
    </xf>
    <xf numFmtId="9" fontId="0" fillId="4" borderId="1" xfId="1" applyFont="1" applyFill="1" applyBorder="1" applyAlignment="1">
      <alignment horizontal="right"/>
    </xf>
    <xf numFmtId="9" fontId="0" fillId="4" borderId="1" xfId="0" applyNumberFormat="1" applyFill="1" applyBorder="1" applyAlignment="1">
      <alignment horizontal="right"/>
    </xf>
    <xf numFmtId="169" fontId="0" fillId="0" borderId="0" xfId="0" applyNumberFormat="1"/>
    <xf numFmtId="0" fontId="4" fillId="0" borderId="1" xfId="0" applyFont="1" applyBorder="1" applyAlignment="1">
      <alignment horizontal="center" vertical="center"/>
    </xf>
    <xf numFmtId="3" fontId="0" fillId="6" borderId="1" xfId="0" applyNumberFormat="1" applyFill="1" applyBorder="1" applyAlignment="1">
      <alignment horizontal="right"/>
    </xf>
    <xf numFmtId="0" fontId="0" fillId="0" borderId="1" xfId="0" applyBorder="1" applyAlignment="1">
      <alignment horizontal="left" indent="1"/>
    </xf>
    <xf numFmtId="0" fontId="0" fillId="6" borderId="1" xfId="0" applyFill="1" applyBorder="1"/>
    <xf numFmtId="2" fontId="0" fillId="0" borderId="1" xfId="0" applyNumberFormat="1" applyBorder="1"/>
    <xf numFmtId="0" fontId="0" fillId="0" borderId="11" xfId="0" applyBorder="1" applyAlignment="1">
      <alignment horizontal="right"/>
    </xf>
    <xf numFmtId="0" fontId="0" fillId="0" borderId="11" xfId="0" applyBorder="1"/>
    <xf numFmtId="0" fontId="0" fillId="0" borderId="0" xfId="0" applyAlignment="1">
      <alignment vertical="top" wrapText="1"/>
    </xf>
    <xf numFmtId="0" fontId="4" fillId="0" borderId="12" xfId="0" applyFont="1" applyBorder="1" applyAlignment="1">
      <alignment horizontal="center" vertical="center"/>
    </xf>
    <xf numFmtId="0" fontId="4" fillId="0" borderId="3" xfId="0" applyFont="1" applyBorder="1" applyAlignment="1">
      <alignment horizontal="center" vertical="center"/>
    </xf>
    <xf numFmtId="0" fontId="0" fillId="0" borderId="26" xfId="0" applyBorder="1" applyAlignment="1">
      <alignment horizontal="center" vertical="center"/>
    </xf>
    <xf numFmtId="0" fontId="0" fillId="0" borderId="26" xfId="0" applyBorder="1"/>
    <xf numFmtId="0" fontId="0" fillId="0" borderId="27" xfId="0" applyBorder="1"/>
    <xf numFmtId="0" fontId="0" fillId="0" borderId="28" xfId="0" applyBorder="1"/>
    <xf numFmtId="0" fontId="0" fillId="0" borderId="12" xfId="0" applyBorder="1" applyAlignment="1">
      <alignment horizontal="center" vertical="center"/>
    </xf>
    <xf numFmtId="0" fontId="0" fillId="0" borderId="0" xfId="0" applyAlignment="1">
      <alignment vertical="top"/>
    </xf>
    <xf numFmtId="2" fontId="0" fillId="0" borderId="0" xfId="0" applyNumberFormat="1"/>
    <xf numFmtId="167" fontId="0" fillId="0" borderId="0" xfId="0" applyNumberFormat="1"/>
    <xf numFmtId="9" fontId="0" fillId="0" borderId="0" xfId="1" applyFont="1"/>
    <xf numFmtId="0" fontId="0" fillId="0" borderId="5" xfId="0" applyBorder="1" applyAlignment="1">
      <alignment horizontal="left" vertical="center"/>
    </xf>
    <xf numFmtId="49" fontId="0" fillId="0" borderId="0" xfId="0" applyNumberFormat="1"/>
    <xf numFmtId="49" fontId="0" fillId="0" borderId="0" xfId="0" applyNumberFormat="1" applyAlignment="1">
      <alignment wrapText="1"/>
    </xf>
    <xf numFmtId="49" fontId="0" fillId="0" borderId="0" xfId="0" applyNumberFormat="1" applyAlignment="1">
      <alignment horizontal="left" vertical="center" wrapText="1"/>
    </xf>
    <xf numFmtId="49" fontId="0" fillId="0" borderId="0" xfId="0" applyNumberFormat="1" applyAlignment="1">
      <alignment horizontal="left" vertical="top" wrapText="1"/>
    </xf>
    <xf numFmtId="0" fontId="4" fillId="0" borderId="5" xfId="0" applyFont="1" applyBorder="1" applyAlignment="1">
      <alignment horizontal="center" vertical="center"/>
    </xf>
    <xf numFmtId="0" fontId="4" fillId="0" borderId="22" xfId="0" applyFont="1" applyBorder="1" applyAlignment="1">
      <alignment horizontal="center"/>
    </xf>
    <xf numFmtId="0" fontId="0" fillId="0" borderId="0" xfId="0" applyAlignment="1">
      <alignment vertical="center"/>
    </xf>
    <xf numFmtId="0" fontId="0" fillId="0" borderId="25" xfId="0" applyBorder="1" applyAlignment="1">
      <alignment vertical="center"/>
    </xf>
    <xf numFmtId="4" fontId="0" fillId="0" borderId="1" xfId="0" applyNumberFormat="1" applyBorder="1"/>
    <xf numFmtId="0" fontId="0" fillId="2" borderId="1" xfId="0" applyFill="1" applyBorder="1" applyProtection="1">
      <protection locked="0"/>
    </xf>
    <xf numFmtId="3" fontId="0" fillId="2" borderId="1" xfId="0" applyNumberFormat="1" applyFill="1" applyBorder="1" applyAlignment="1" applyProtection="1">
      <alignment horizontal="right"/>
      <protection locked="0"/>
    </xf>
    <xf numFmtId="1" fontId="0" fillId="2" borderId="1" xfId="0" applyNumberFormat="1" applyFill="1" applyBorder="1" applyAlignment="1" applyProtection="1">
      <alignment horizontal="right"/>
      <protection locked="0"/>
    </xf>
    <xf numFmtId="3" fontId="0" fillId="2" borderId="1" xfId="0" applyNumberFormat="1" applyFill="1" applyBorder="1" applyProtection="1">
      <protection locked="0"/>
    </xf>
    <xf numFmtId="0" fontId="0" fillId="0" borderId="0" xfId="0" applyProtection="1">
      <protection locked="0"/>
    </xf>
    <xf numFmtId="9" fontId="0" fillId="2" borderId="7" xfId="1" applyFont="1" applyFill="1" applyBorder="1" applyProtection="1">
      <protection locked="0"/>
    </xf>
    <xf numFmtId="0" fontId="4" fillId="2" borderId="23" xfId="0" applyFont="1" applyFill="1" applyBorder="1" applyAlignment="1" applyProtection="1">
      <alignment horizontal="center"/>
      <protection locked="0"/>
    </xf>
    <xf numFmtId="2" fontId="0" fillId="2" borderId="1" xfId="0" applyNumberFormat="1" applyFill="1" applyBorder="1" applyProtection="1">
      <protection locked="0"/>
    </xf>
    <xf numFmtId="168" fontId="0" fillId="2" borderId="1" xfId="1" applyNumberFormat="1" applyFont="1" applyFill="1" applyBorder="1" applyProtection="1">
      <protection locked="0"/>
    </xf>
    <xf numFmtId="169" fontId="0" fillId="2" borderId="1" xfId="0" applyNumberFormat="1" applyFill="1" applyBorder="1" applyProtection="1">
      <protection locked="0"/>
    </xf>
    <xf numFmtId="0" fontId="0" fillId="0" borderId="0" xfId="0" applyAlignment="1" applyProtection="1">
      <alignment horizontal="right"/>
      <protection locked="0"/>
    </xf>
    <xf numFmtId="0" fontId="8" fillId="0" borderId="0" xfId="2" applyProtection="1">
      <protection locked="0"/>
    </xf>
    <xf numFmtId="0" fontId="4" fillId="0" borderId="5" xfId="0" applyFont="1" applyBorder="1" applyAlignment="1">
      <alignment horizontal="center" vertical="center" wrapText="1"/>
    </xf>
    <xf numFmtId="0" fontId="0" fillId="0" borderId="0" xfId="0" applyAlignment="1">
      <alignment wrapText="1"/>
    </xf>
    <xf numFmtId="0" fontId="0" fillId="0" borderId="0" xfId="0" applyAlignment="1">
      <alignment horizontal="left" vertical="top" wrapText="1"/>
    </xf>
    <xf numFmtId="0" fontId="0" fillId="0" borderId="0" xfId="0" applyAlignment="1">
      <alignment horizontal="left" vertical="center"/>
    </xf>
    <xf numFmtId="166" fontId="0" fillId="0" borderId="0" xfId="0" applyNumberFormat="1" applyAlignment="1" applyProtection="1">
      <alignment vertical="center"/>
      <protection locked="0"/>
    </xf>
    <xf numFmtId="0" fontId="0" fillId="0" borderId="1" xfId="0" applyBorder="1" applyAlignment="1">
      <alignment horizontal="center" wrapText="1"/>
    </xf>
    <xf numFmtId="0" fontId="0" fillId="0" borderId="13" xfId="0" applyBorder="1" applyAlignment="1">
      <alignment horizontal="left"/>
    </xf>
    <xf numFmtId="0" fontId="0" fillId="0" borderId="12" xfId="0" applyBorder="1" applyAlignment="1">
      <alignment horizontal="left"/>
    </xf>
    <xf numFmtId="0" fontId="4" fillId="5" borderId="1" xfId="0" applyFont="1" applyFill="1" applyBorder="1" applyAlignment="1">
      <alignment horizontal="center" vertical="center"/>
    </xf>
    <xf numFmtId="3" fontId="0" fillId="6" borderId="31" xfId="0" applyNumberFormat="1" applyFill="1" applyBorder="1" applyProtection="1">
      <protection locked="0"/>
    </xf>
    <xf numFmtId="0" fontId="0" fillId="6" borderId="31" xfId="0" applyFill="1" applyBorder="1" applyProtection="1">
      <protection locked="0"/>
    </xf>
    <xf numFmtId="0" fontId="4" fillId="5" borderId="13" xfId="0" applyFont="1" applyFill="1" applyBorder="1"/>
    <xf numFmtId="3" fontId="0" fillId="0" borderId="0" xfId="0" applyNumberFormat="1" applyAlignment="1">
      <alignment horizontal="right"/>
    </xf>
    <xf numFmtId="0" fontId="0" fillId="0" borderId="12" xfId="0" applyBorder="1" applyAlignment="1">
      <alignment horizontal="left" vertical="center"/>
    </xf>
    <xf numFmtId="0" fontId="4" fillId="0" borderId="21" xfId="0" applyFont="1" applyBorder="1" applyAlignment="1">
      <alignment horizontal="left" vertical="center"/>
    </xf>
    <xf numFmtId="0" fontId="4" fillId="0" borderId="10" xfId="0" applyFont="1" applyBorder="1"/>
    <xf numFmtId="0" fontId="4" fillId="0" borderId="9" xfId="0" applyFont="1" applyBorder="1"/>
    <xf numFmtId="0" fontId="0" fillId="0" borderId="3" xfId="0" applyBorder="1" applyAlignment="1">
      <alignment horizontal="left" vertical="center"/>
    </xf>
    <xf numFmtId="0" fontId="0" fillId="0" borderId="4" xfId="0" applyBorder="1"/>
    <xf numFmtId="0" fontId="0" fillId="0" borderId="6" xfId="0" applyBorder="1" applyAlignment="1">
      <alignment horizontal="left" vertical="center"/>
    </xf>
    <xf numFmtId="0" fontId="0" fillId="0" borderId="7" xfId="0" applyBorder="1"/>
    <xf numFmtId="0" fontId="0" fillId="0" borderId="8" xfId="0" applyBorder="1"/>
    <xf numFmtId="0" fontId="4" fillId="4" borderId="12" xfId="0" applyFont="1" applyFill="1" applyBorder="1" applyAlignment="1">
      <alignment horizontal="center" vertical="center"/>
    </xf>
    <xf numFmtId="0" fontId="4" fillId="4" borderId="12" xfId="0" applyFont="1" applyFill="1" applyBorder="1" applyAlignment="1">
      <alignment horizontal="center" vertical="center" wrapText="1"/>
    </xf>
    <xf numFmtId="1" fontId="0" fillId="0" borderId="1" xfId="0" applyNumberFormat="1" applyBorder="1" applyAlignment="1">
      <alignment horizontal="right"/>
    </xf>
    <xf numFmtId="9" fontId="0" fillId="2" borderId="1" xfId="1" applyFont="1" applyFill="1" applyBorder="1" applyProtection="1">
      <protection locked="0"/>
    </xf>
    <xf numFmtId="0" fontId="4" fillId="5" borderId="1" xfId="0" applyFont="1" applyFill="1" applyBorder="1"/>
    <xf numFmtId="0" fontId="0" fillId="0" borderId="12" xfId="0" applyBorder="1" applyAlignment="1">
      <alignment horizontal="right"/>
    </xf>
    <xf numFmtId="0" fontId="0" fillId="6" borderId="0" xfId="0" applyFill="1" applyAlignment="1">
      <alignment horizontal="right"/>
    </xf>
    <xf numFmtId="0" fontId="0" fillId="6" borderId="0" xfId="0" applyFill="1" applyAlignment="1">
      <alignment horizontal="left" vertical="center"/>
    </xf>
    <xf numFmtId="0" fontId="0" fillId="6" borderId="0" xfId="0" applyFill="1"/>
    <xf numFmtId="0" fontId="0" fillId="6" borderId="0" xfId="0" applyFill="1" applyAlignment="1">
      <alignment horizontal="left"/>
    </xf>
    <xf numFmtId="0" fontId="0" fillId="6" borderId="0" xfId="0" applyFill="1" applyProtection="1">
      <protection locked="0"/>
    </xf>
    <xf numFmtId="0" fontId="19" fillId="3" borderId="1" xfId="0" applyFont="1" applyFill="1" applyBorder="1" applyAlignment="1">
      <alignment horizontal="left" indent="2"/>
    </xf>
    <xf numFmtId="0" fontId="19" fillId="4" borderId="1" xfId="0" applyFont="1" applyFill="1" applyBorder="1" applyAlignment="1">
      <alignment horizontal="left" indent="3"/>
    </xf>
    <xf numFmtId="0" fontId="0" fillId="9" borderId="1" xfId="0" applyFill="1" applyBorder="1" applyAlignment="1">
      <alignment horizontal="left"/>
    </xf>
    <xf numFmtId="0" fontId="19" fillId="9" borderId="1" xfId="0" applyFont="1" applyFill="1" applyBorder="1" applyAlignment="1">
      <alignment horizontal="left"/>
    </xf>
    <xf numFmtId="0" fontId="19" fillId="8" borderId="1" xfId="0" applyFont="1" applyFill="1" applyBorder="1" applyAlignment="1">
      <alignment horizontal="left"/>
    </xf>
    <xf numFmtId="0" fontId="19" fillId="4" borderId="1" xfId="0" applyFont="1" applyFill="1" applyBorder="1" applyAlignment="1">
      <alignment horizontal="left"/>
    </xf>
    <xf numFmtId="0" fontId="19" fillId="4" borderId="12" xfId="0" applyFont="1" applyFill="1" applyBorder="1" applyAlignment="1">
      <alignment horizontal="left"/>
    </xf>
    <xf numFmtId="0" fontId="19" fillId="3" borderId="1" xfId="0" applyFont="1" applyFill="1" applyBorder="1" applyAlignment="1">
      <alignment horizontal="left"/>
    </xf>
    <xf numFmtId="0" fontId="0" fillId="6" borderId="1" xfId="0" applyFill="1" applyBorder="1" applyAlignment="1">
      <alignment horizontal="left" indent="2"/>
    </xf>
    <xf numFmtId="9" fontId="0" fillId="2" borderId="1" xfId="1" applyFont="1" applyFill="1" applyBorder="1" applyAlignment="1" applyProtection="1">
      <alignment horizontal="right"/>
      <protection locked="0"/>
    </xf>
    <xf numFmtId="9" fontId="19" fillId="0" borderId="0" xfId="1" applyFont="1"/>
    <xf numFmtId="0" fontId="19" fillId="0" borderId="0" xfId="0" applyFont="1" applyAlignment="1">
      <alignment horizontal="right"/>
    </xf>
    <xf numFmtId="0" fontId="19" fillId="6" borderId="0" xfId="0" applyFont="1" applyFill="1" applyAlignment="1">
      <alignment horizontal="right"/>
    </xf>
    <xf numFmtId="0" fontId="19" fillId="0" borderId="1" xfId="0" applyFont="1" applyBorder="1" applyAlignment="1">
      <alignment horizontal="right"/>
    </xf>
    <xf numFmtId="167" fontId="0" fillId="0" borderId="1" xfId="0" applyNumberFormat="1" applyBorder="1" applyAlignment="1">
      <alignment horizontal="center" vertical="center"/>
    </xf>
    <xf numFmtId="0" fontId="9" fillId="7" borderId="1" xfId="0" applyFont="1" applyFill="1" applyBorder="1" applyAlignment="1">
      <alignment horizontal="center"/>
    </xf>
    <xf numFmtId="9" fontId="9" fillId="7" borderId="1" xfId="0" applyNumberFormat="1" applyFont="1" applyFill="1" applyBorder="1" applyAlignment="1">
      <alignment horizontal="center"/>
    </xf>
    <xf numFmtId="1" fontId="0" fillId="6" borderId="1" xfId="0" applyNumberFormat="1" applyFill="1" applyBorder="1"/>
    <xf numFmtId="1" fontId="0" fillId="2" borderId="1" xfId="0" applyNumberFormat="1" applyFill="1" applyBorder="1" applyAlignment="1" applyProtection="1">
      <alignment vertical="center"/>
      <protection locked="0"/>
    </xf>
    <xf numFmtId="0" fontId="8" fillId="0" borderId="0" xfId="2" applyFill="1"/>
    <xf numFmtId="1" fontId="0" fillId="2" borderId="1" xfId="0" applyNumberFormat="1" applyFill="1" applyBorder="1" applyProtection="1">
      <protection locked="0"/>
    </xf>
    <xf numFmtId="0" fontId="0" fillId="2" borderId="1" xfId="0" applyFill="1" applyBorder="1" applyAlignment="1" applyProtection="1">
      <alignment horizontal="right"/>
      <protection locked="0"/>
    </xf>
    <xf numFmtId="1" fontId="0" fillId="2" borderId="7" xfId="0" applyNumberFormat="1" applyFill="1" applyBorder="1" applyAlignment="1" applyProtection="1">
      <alignment vertical="center"/>
      <protection locked="0"/>
    </xf>
    <xf numFmtId="0" fontId="0" fillId="0" borderId="30" xfId="0" applyBorder="1" applyAlignment="1">
      <alignment horizontal="left" vertical="center"/>
    </xf>
    <xf numFmtId="0" fontId="0" fillId="0" borderId="36" xfId="0" applyBorder="1" applyAlignment="1">
      <alignment horizontal="left" vertical="center"/>
    </xf>
    <xf numFmtId="0" fontId="8" fillId="0" borderId="0" xfId="2" applyAlignment="1">
      <alignment horizontal="left"/>
    </xf>
    <xf numFmtId="3" fontId="0" fillId="0" borderId="0" xfId="0" applyNumberFormat="1" applyAlignment="1">
      <alignment horizontal="center"/>
    </xf>
    <xf numFmtId="169" fontId="0" fillId="0" borderId="0" xfId="0" applyNumberFormat="1" applyAlignment="1">
      <alignment horizontal="right"/>
    </xf>
    <xf numFmtId="169" fontId="3" fillId="0" borderId="0" xfId="0" applyNumberFormat="1" applyFont="1" applyAlignment="1">
      <alignment horizontal="right"/>
    </xf>
    <xf numFmtId="0" fontId="3" fillId="0" borderId="0" xfId="0" applyFont="1" applyAlignment="1">
      <alignment horizontal="right"/>
    </xf>
    <xf numFmtId="169" fontId="3" fillId="0" borderId="0" xfId="0" applyNumberFormat="1" applyFont="1"/>
    <xf numFmtId="1" fontId="0" fillId="0" borderId="0" xfId="0" applyNumberFormat="1"/>
    <xf numFmtId="170" fontId="0" fillId="0" borderId="0" xfId="9" applyNumberFormat="1" applyFont="1"/>
    <xf numFmtId="0" fontId="0" fillId="0" borderId="0" xfId="0" applyAlignment="1">
      <alignment horizontal="right" indent="1"/>
    </xf>
    <xf numFmtId="49" fontId="0" fillId="0" borderId="13" xfId="0" applyNumberFormat="1" applyBorder="1" applyAlignment="1" applyProtection="1">
      <alignment horizontal="left" vertical="top" wrapText="1"/>
      <protection locked="0"/>
    </xf>
    <xf numFmtId="49" fontId="9" fillId="0" borderId="0" xfId="0" applyNumberFormat="1" applyFont="1" applyProtection="1">
      <protection locked="0"/>
    </xf>
    <xf numFmtId="49" fontId="0" fillId="0" borderId="1" xfId="0" applyNumberFormat="1" applyBorder="1" applyAlignment="1" applyProtection="1">
      <alignment vertical="top" wrapText="1"/>
      <protection locked="0"/>
    </xf>
    <xf numFmtId="49" fontId="0" fillId="0" borderId="0" xfId="0" applyNumberFormat="1" applyProtection="1">
      <protection locked="0"/>
    </xf>
    <xf numFmtId="49" fontId="10" fillId="0" borderId="13" xfId="0" applyNumberFormat="1" applyFont="1" applyBorder="1" applyAlignment="1" applyProtection="1">
      <alignment horizontal="left" vertical="center" wrapText="1"/>
      <protection locked="0"/>
    </xf>
    <xf numFmtId="49" fontId="9" fillId="0" borderId="0" xfId="0" applyNumberFormat="1" applyFont="1" applyAlignment="1" applyProtection="1">
      <alignment horizontal="left" vertical="center" wrapText="1"/>
      <protection locked="0"/>
    </xf>
    <xf numFmtId="49" fontId="10" fillId="0" borderId="12" xfId="0" applyNumberFormat="1" applyFont="1" applyBorder="1" applyAlignment="1" applyProtection="1">
      <alignment horizontal="left" vertical="center" wrapText="1"/>
      <protection locked="0"/>
    </xf>
    <xf numFmtId="0" fontId="4" fillId="0" borderId="38" xfId="0" applyFont="1" applyBorder="1" applyAlignment="1">
      <alignment horizontal="center" vertical="center"/>
    </xf>
    <xf numFmtId="1" fontId="0" fillId="2" borderId="42" xfId="0" applyNumberFormat="1" applyFill="1" applyBorder="1" applyAlignment="1" applyProtection="1">
      <alignment vertical="center"/>
      <protection locked="0"/>
    </xf>
    <xf numFmtId="0" fontId="19" fillId="0" borderId="1" xfId="0" applyFont="1" applyBorder="1" applyAlignment="1">
      <alignment horizontal="left" indent="2"/>
    </xf>
    <xf numFmtId="9" fontId="0" fillId="6" borderId="1" xfId="1" applyFont="1" applyFill="1" applyBorder="1" applyProtection="1">
      <protection locked="0"/>
    </xf>
    <xf numFmtId="0" fontId="0" fillId="6" borderId="1" xfId="1" applyNumberFormat="1" applyFont="1" applyFill="1" applyBorder="1" applyProtection="1">
      <protection locked="0"/>
    </xf>
    <xf numFmtId="0" fontId="0" fillId="0" borderId="39" xfId="0" applyBorder="1" applyAlignment="1">
      <alignment horizontal="left" vertical="center" wrapText="1"/>
    </xf>
    <xf numFmtId="170" fontId="0" fillId="0" borderId="1" xfId="0" applyNumberFormat="1" applyBorder="1"/>
    <xf numFmtId="9" fontId="0" fillId="2" borderId="30" xfId="1" applyFont="1" applyFill="1" applyBorder="1" applyProtection="1">
      <protection locked="0"/>
    </xf>
    <xf numFmtId="3" fontId="0" fillId="2" borderId="30" xfId="0" applyNumberFormat="1" applyFill="1" applyBorder="1" applyAlignment="1" applyProtection="1">
      <alignment horizontal="right"/>
      <protection locked="0"/>
    </xf>
    <xf numFmtId="9" fontId="0" fillId="2" borderId="30" xfId="1" applyFont="1" applyFill="1" applyBorder="1" applyAlignment="1" applyProtection="1">
      <alignment horizontal="right"/>
      <protection locked="0"/>
    </xf>
    <xf numFmtId="3" fontId="0" fillId="6" borderId="30" xfId="0" applyNumberFormat="1" applyFill="1" applyBorder="1" applyAlignment="1">
      <alignment horizontal="right"/>
    </xf>
    <xf numFmtId="3" fontId="0" fillId="0" borderId="30" xfId="0" applyNumberFormat="1" applyBorder="1"/>
    <xf numFmtId="1" fontId="0" fillId="2" borderId="30" xfId="0" applyNumberFormat="1" applyFill="1" applyBorder="1" applyAlignment="1" applyProtection="1">
      <alignment horizontal="right"/>
      <protection locked="0"/>
    </xf>
    <xf numFmtId="0" fontId="0" fillId="2" borderId="30" xfId="0" applyFill="1" applyBorder="1" applyProtection="1">
      <protection locked="0"/>
    </xf>
    <xf numFmtId="0" fontId="4" fillId="4" borderId="34" xfId="0" applyFont="1" applyFill="1" applyBorder="1" applyAlignment="1">
      <alignment horizontal="center" vertical="center" wrapText="1"/>
    </xf>
    <xf numFmtId="3" fontId="0" fillId="0" borderId="30" xfId="0" applyNumberFormat="1" applyBorder="1" applyAlignment="1">
      <alignment horizontal="right"/>
    </xf>
    <xf numFmtId="9" fontId="0" fillId="4" borderId="30" xfId="1" applyFont="1" applyFill="1" applyBorder="1" applyAlignment="1">
      <alignment horizontal="right"/>
    </xf>
    <xf numFmtId="9" fontId="0" fillId="4" borderId="30" xfId="0" applyNumberFormat="1" applyFill="1" applyBorder="1" applyAlignment="1">
      <alignment horizontal="right"/>
    </xf>
    <xf numFmtId="1" fontId="0" fillId="0" borderId="30" xfId="0" applyNumberFormat="1" applyBorder="1" applyAlignment="1">
      <alignment horizontal="right"/>
    </xf>
    <xf numFmtId="170" fontId="0" fillId="0" borderId="30" xfId="0" applyNumberFormat="1" applyBorder="1"/>
    <xf numFmtId="0" fontId="4" fillId="0" borderId="1" xfId="0" applyFont="1" applyBorder="1" applyAlignment="1">
      <alignment horizontal="center"/>
    </xf>
    <xf numFmtId="0" fontId="23" fillId="0" borderId="0" xfId="0" applyFont="1" applyAlignment="1">
      <alignment horizontal="left" vertical="top" wrapText="1"/>
    </xf>
    <xf numFmtId="0" fontId="23" fillId="0" borderId="0" xfId="0" applyFont="1" applyAlignment="1" applyProtection="1">
      <alignment horizontal="left" vertical="top" wrapText="1"/>
      <protection locked="0"/>
    </xf>
    <xf numFmtId="0" fontId="14" fillId="0" borderId="0" xfId="0" applyFont="1" applyAlignment="1">
      <alignment horizontal="center" vertical="top" wrapText="1"/>
    </xf>
    <xf numFmtId="49" fontId="0" fillId="0" borderId="12" xfId="0" applyNumberFormat="1" applyBorder="1" applyAlignment="1" applyProtection="1">
      <alignment horizontal="left" vertical="top" wrapText="1"/>
      <protection locked="0"/>
    </xf>
    <xf numFmtId="0" fontId="0" fillId="0" borderId="18" xfId="0" applyBorder="1" applyAlignment="1">
      <alignment vertical="top"/>
    </xf>
    <xf numFmtId="0" fontId="0" fillId="0" borderId="35" xfId="0" applyBorder="1" applyAlignment="1">
      <alignment vertical="top"/>
    </xf>
    <xf numFmtId="0" fontId="0" fillId="0" borderId="43" xfId="0" applyBorder="1"/>
    <xf numFmtId="0" fontId="0" fillId="0" borderId="43" xfId="0" applyBorder="1" applyAlignment="1">
      <alignment horizontal="center"/>
    </xf>
    <xf numFmtId="170" fontId="0" fillId="0" borderId="43" xfId="0" applyNumberFormat="1" applyBorder="1"/>
    <xf numFmtId="0" fontId="4" fillId="0" borderId="1" xfId="0" applyFont="1" applyBorder="1"/>
    <xf numFmtId="1" fontId="4" fillId="0" borderId="1" xfId="0" applyNumberFormat="1" applyFont="1" applyBorder="1" applyAlignment="1">
      <alignment horizontal="right"/>
    </xf>
    <xf numFmtId="1" fontId="4" fillId="0" borderId="30" xfId="0" applyNumberFormat="1" applyFont="1" applyBorder="1" applyAlignment="1">
      <alignment horizontal="right"/>
    </xf>
    <xf numFmtId="0" fontId="0" fillId="8" borderId="12" xfId="0" applyFill="1" applyBorder="1" applyAlignment="1">
      <alignment horizontal="left"/>
    </xf>
    <xf numFmtId="0" fontId="0" fillId="4" borderId="16" xfId="0" applyFill="1" applyBorder="1"/>
    <xf numFmtId="0" fontId="0" fillId="3" borderId="10" xfId="0" applyFill="1" applyBorder="1"/>
    <xf numFmtId="0" fontId="19" fillId="3" borderId="7" xfId="0" applyFont="1" applyFill="1" applyBorder="1" applyAlignment="1">
      <alignment horizontal="left" indent="2"/>
    </xf>
    <xf numFmtId="0" fontId="19" fillId="4" borderId="7" xfId="0" applyFont="1" applyFill="1" applyBorder="1" applyAlignment="1">
      <alignment horizontal="left" indent="3"/>
    </xf>
    <xf numFmtId="170" fontId="0" fillId="6" borderId="1" xfId="9" applyNumberFormat="1" applyFont="1" applyFill="1" applyBorder="1" applyProtection="1"/>
    <xf numFmtId="170" fontId="0" fillId="6" borderId="12" xfId="9" applyNumberFormat="1" applyFont="1" applyFill="1" applyBorder="1" applyProtection="1"/>
    <xf numFmtId="9" fontId="0" fillId="6" borderId="1" xfId="1" applyFont="1" applyFill="1" applyBorder="1" applyAlignment="1" applyProtection="1">
      <alignment horizontal="right"/>
    </xf>
    <xf numFmtId="9" fontId="0" fillId="6" borderId="0" xfId="1" applyFont="1" applyFill="1" applyBorder="1" applyAlignment="1" applyProtection="1">
      <alignment horizontal="center"/>
    </xf>
    <xf numFmtId="9" fontId="0" fillId="6" borderId="1" xfId="1" applyFont="1" applyFill="1" applyBorder="1" applyAlignment="1" applyProtection="1">
      <alignment horizontal="center"/>
    </xf>
    <xf numFmtId="9" fontId="0" fillId="6" borderId="12" xfId="1" applyFont="1" applyFill="1" applyBorder="1" applyAlignment="1" applyProtection="1">
      <alignment horizontal="center"/>
    </xf>
    <xf numFmtId="9" fontId="0" fillId="6" borderId="34" xfId="1" applyFont="1" applyFill="1" applyBorder="1" applyAlignment="1" applyProtection="1">
      <alignment horizontal="center"/>
    </xf>
    <xf numFmtId="0" fontId="0" fillId="0" borderId="10" xfId="0" applyBorder="1" applyAlignment="1">
      <alignment horizontal="left" vertical="center"/>
    </xf>
    <xf numFmtId="9" fontId="0" fillId="6" borderId="10" xfId="1" applyFont="1" applyFill="1" applyBorder="1" applyAlignment="1" applyProtection="1">
      <alignment horizontal="center"/>
    </xf>
    <xf numFmtId="0" fontId="0" fillId="0" borderId="37" xfId="0" applyBorder="1"/>
    <xf numFmtId="0" fontId="0" fillId="0" borderId="7" xfId="0" applyBorder="1" applyAlignment="1">
      <alignment horizontal="left" vertical="center"/>
    </xf>
    <xf numFmtId="9" fontId="0" fillId="6" borderId="7" xfId="1" applyFont="1" applyFill="1" applyBorder="1" applyAlignment="1" applyProtection="1">
      <alignment horizontal="center"/>
    </xf>
    <xf numFmtId="0" fontId="0" fillId="0" borderId="16" xfId="0" applyBorder="1" applyAlignment="1">
      <alignment horizontal="left" vertical="center"/>
    </xf>
    <xf numFmtId="9" fontId="0" fillId="6" borderId="16" xfId="1" applyFont="1" applyFill="1" applyBorder="1" applyAlignment="1" applyProtection="1">
      <alignment horizontal="center"/>
    </xf>
    <xf numFmtId="9" fontId="19" fillId="0" borderId="0" xfId="1" applyFont="1" applyProtection="1"/>
    <xf numFmtId="49" fontId="30" fillId="0" borderId="13" xfId="0" applyNumberFormat="1" applyFont="1" applyBorder="1" applyAlignment="1" applyProtection="1">
      <alignment horizontal="left" vertical="top" wrapText="1"/>
      <protection locked="0"/>
    </xf>
    <xf numFmtId="49" fontId="27" fillId="0" borderId="13" xfId="0" applyNumberFormat="1" applyFont="1" applyBorder="1" applyAlignment="1" applyProtection="1">
      <alignment horizontal="left" vertical="top" wrapText="1"/>
      <protection locked="0"/>
    </xf>
    <xf numFmtId="49" fontId="27" fillId="0" borderId="16" xfId="0" applyNumberFormat="1" applyFont="1" applyBorder="1" applyAlignment="1" applyProtection="1">
      <alignment horizontal="left" vertical="top" wrapText="1"/>
      <protection locked="0"/>
    </xf>
    <xf numFmtId="49" fontId="1" fillId="0" borderId="13" xfId="0" applyNumberFormat="1" applyFont="1" applyBorder="1" applyAlignment="1" applyProtection="1">
      <alignment horizontal="left" vertical="top" wrapText="1"/>
      <protection locked="0"/>
    </xf>
    <xf numFmtId="0" fontId="0" fillId="0" borderId="1" xfId="0" applyBorder="1" applyAlignment="1">
      <alignment horizontal="left" vertical="top" wrapText="1"/>
    </xf>
    <xf numFmtId="0" fontId="16" fillId="0" borderId="19" xfId="0" applyFont="1" applyBorder="1" applyAlignment="1">
      <alignment horizontal="center"/>
    </xf>
    <xf numFmtId="0" fontId="16" fillId="0" borderId="24" xfId="0" applyFont="1" applyBorder="1" applyAlignment="1">
      <alignment horizontal="center"/>
    </xf>
    <xf numFmtId="0" fontId="16" fillId="0" borderId="20" xfId="0" applyFont="1" applyBorder="1" applyAlignment="1">
      <alignment horizontal="center"/>
    </xf>
    <xf numFmtId="0" fontId="4" fillId="0" borderId="33"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xf>
    <xf numFmtId="0" fontId="16" fillId="5" borderId="12" xfId="0" applyFont="1" applyFill="1" applyBorder="1" applyAlignment="1">
      <alignment horizontal="center" vertical="center"/>
    </xf>
    <xf numFmtId="0" fontId="16" fillId="5" borderId="16"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5" xfId="0" applyFont="1" applyFill="1" applyBorder="1" applyAlignment="1">
      <alignment horizontal="center" vertical="center"/>
    </xf>
    <xf numFmtId="0" fontId="4" fillId="4" borderId="12" xfId="0" applyFont="1" applyFill="1" applyBorder="1" applyAlignment="1" applyProtection="1">
      <alignment horizontal="center" vertical="center" wrapText="1"/>
      <protection locked="0"/>
    </xf>
    <xf numFmtId="0" fontId="4" fillId="4" borderId="16" xfId="0" applyFont="1" applyFill="1" applyBorder="1" applyAlignment="1" applyProtection="1">
      <alignment horizontal="center" vertical="center" wrapText="1"/>
      <protection locked="0"/>
    </xf>
    <xf numFmtId="0" fontId="16" fillId="4" borderId="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6" xfId="0" applyFont="1" applyFill="1" applyBorder="1" applyAlignment="1">
      <alignment horizontal="center" vertical="center"/>
    </xf>
    <xf numFmtId="0" fontId="4" fillId="2" borderId="12" xfId="0" applyFont="1" applyFill="1" applyBorder="1" applyAlignment="1" applyProtection="1">
      <alignment horizontal="center" vertical="center" wrapText="1"/>
      <protection locked="0"/>
    </xf>
    <xf numFmtId="0" fontId="4" fillId="2" borderId="16" xfId="0" applyFont="1" applyFill="1" applyBorder="1" applyAlignment="1" applyProtection="1">
      <alignment horizontal="center" vertical="center" wrapText="1"/>
      <protection locked="0"/>
    </xf>
    <xf numFmtId="0" fontId="4" fillId="0" borderId="34" xfId="0" applyFont="1" applyBorder="1" applyAlignment="1">
      <alignment horizontal="left" vertical="center" wrapText="1"/>
    </xf>
    <xf numFmtId="0" fontId="0" fillId="0" borderId="18" xfId="0" applyBorder="1" applyAlignment="1">
      <alignment horizontal="left" vertical="center" wrapText="1"/>
    </xf>
    <xf numFmtId="0" fontId="0" fillId="0" borderId="17" xfId="0" applyBorder="1" applyAlignment="1">
      <alignment horizontal="left" vertical="center" wrapText="1"/>
    </xf>
    <xf numFmtId="0" fontId="0" fillId="0" borderId="40" xfId="0" applyBorder="1" applyAlignment="1">
      <alignment horizontal="left" vertical="top" wrapText="1"/>
    </xf>
    <xf numFmtId="0" fontId="0" fillId="0" borderId="39" xfId="0" applyBorder="1" applyAlignment="1">
      <alignment horizontal="left" vertical="top" wrapText="1"/>
    </xf>
    <xf numFmtId="0" fontId="0" fillId="0" borderId="41" xfId="0" applyBorder="1" applyAlignment="1">
      <alignment horizontal="left" vertical="top" wrapText="1"/>
    </xf>
    <xf numFmtId="0" fontId="0" fillId="0" borderId="35" xfId="0" applyBorder="1" applyAlignment="1">
      <alignment horizontal="left" vertical="top"/>
    </xf>
    <xf numFmtId="0" fontId="0" fillId="0" borderId="0" xfId="0" applyAlignment="1">
      <alignment horizontal="left" vertical="top"/>
    </xf>
    <xf numFmtId="0" fontId="0" fillId="0" borderId="37" xfId="0" applyBorder="1" applyAlignment="1">
      <alignment horizontal="left" vertical="top"/>
    </xf>
    <xf numFmtId="0" fontId="0" fillId="0" borderId="32" xfId="0" applyBorder="1" applyAlignment="1">
      <alignment horizontal="left" vertical="top"/>
    </xf>
    <xf numFmtId="0" fontId="0" fillId="0" borderId="11" xfId="0" applyBorder="1" applyAlignment="1">
      <alignment horizontal="left" vertical="top"/>
    </xf>
    <xf numFmtId="0" fontId="0" fillId="0" borderId="15" xfId="0" applyBorder="1" applyAlignment="1">
      <alignment horizontal="left" vertical="top"/>
    </xf>
    <xf numFmtId="0" fontId="0" fillId="0" borderId="1" xfId="0" applyBorder="1" applyAlignment="1">
      <alignment horizontal="right"/>
    </xf>
    <xf numFmtId="0" fontId="4" fillId="0" borderId="11" xfId="0" applyFont="1" applyBorder="1" applyAlignment="1">
      <alignment horizontal="left"/>
    </xf>
    <xf numFmtId="0" fontId="0" fillId="0" borderId="0" xfId="0" applyAlignment="1">
      <alignment horizontal="center" vertical="top" wrapText="1"/>
    </xf>
    <xf numFmtId="0" fontId="0" fillId="0" borderId="11" xfId="0" applyBorder="1" applyAlignment="1">
      <alignment horizontal="center" vertical="top" wrapText="1"/>
    </xf>
    <xf numFmtId="0" fontId="4" fillId="0" borderId="35" xfId="0" applyFont="1" applyBorder="1" applyAlignment="1">
      <alignment horizontal="center" vertical="center"/>
    </xf>
    <xf numFmtId="0" fontId="4" fillId="0" borderId="0" xfId="0" applyFont="1" applyAlignment="1">
      <alignment horizontal="center" vertical="center"/>
    </xf>
    <xf numFmtId="0" fontId="4" fillId="0" borderId="32"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xf>
    <xf numFmtId="0" fontId="3" fillId="0" borderId="30" xfId="0" applyFont="1" applyBorder="1" applyAlignment="1">
      <alignment horizontal="center"/>
    </xf>
    <xf numFmtId="0" fontId="3" fillId="0" borderId="29" xfId="0" applyFont="1" applyBorder="1" applyAlignment="1">
      <alignment horizontal="center"/>
    </xf>
    <xf numFmtId="0" fontId="3" fillId="0" borderId="2" xfId="0" applyFont="1" applyBorder="1" applyAlignment="1">
      <alignment horizontal="center"/>
    </xf>
  </cellXfs>
  <cellStyles count="10">
    <cellStyle name="Euro" xfId="3" xr:uid="{00000000-0005-0000-0000-000000000000}"/>
    <cellStyle name="Komma" xfId="9" builtinId="3"/>
    <cellStyle name="Komma 2" xfId="5" xr:uid="{00000000-0005-0000-0000-000001000000}"/>
    <cellStyle name="Komma 3" xfId="8" xr:uid="{00000000-0005-0000-0000-000002000000}"/>
    <cellStyle name="Link" xfId="2" builtinId="8"/>
    <cellStyle name="Link 2" xfId="4" xr:uid="{00000000-0005-0000-0000-000004000000}"/>
    <cellStyle name="Prozent" xfId="1" builtinId="5"/>
    <cellStyle name="Prozent 2" xfId="6" xr:uid="{00000000-0005-0000-0000-000006000000}"/>
    <cellStyle name="Standard" xfId="0" builtinId="0"/>
    <cellStyle name="Standard 2" xfId="7" xr:uid="{00000000-0005-0000-0000-000008000000}"/>
  </cellStyles>
  <dxfs count="4">
    <dxf>
      <fill>
        <patternFill>
          <bgColor theme="7" tint="0.79998168889431442"/>
        </patternFill>
      </fill>
    </dxf>
    <dxf>
      <fill>
        <patternFill>
          <bgColor theme="0"/>
        </patternFill>
      </fill>
    </dxf>
    <dxf>
      <font>
        <b/>
        <i val="0"/>
        <color rgb="FFFF0000"/>
      </font>
    </dxf>
    <dxf>
      <font>
        <b/>
        <i val="0"/>
      </font>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v>Fixed costs</c:v>
          </c:tx>
          <c:spPr>
            <a:solidFill>
              <a:schemeClr val="accent5">
                <a:lumMod val="40000"/>
                <a:lumOff val="60000"/>
              </a:schemeClr>
            </a:solidFill>
            <a:ln>
              <a:solidFill>
                <a:schemeClr val="tx1"/>
              </a:solidFill>
            </a:ln>
            <a:effectLst/>
          </c:spPr>
          <c:invertIfNegative val="0"/>
          <c:dLbls>
            <c:dLbl>
              <c:idx val="0"/>
              <c:tx>
                <c:rich>
                  <a:bodyPr/>
                  <a:lstStyle/>
                  <a:p>
                    <a:fld id="{A6972CB5-DBE5-495E-828B-678D4C16294A}" type="CELLRANGE">
                      <a:rPr lang="en-US"/>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2140-45CF-9311-530F76B5125D}"/>
                </c:ext>
              </c:extLst>
            </c:dLbl>
            <c:dLbl>
              <c:idx val="1"/>
              <c:tx>
                <c:rich>
                  <a:bodyPr/>
                  <a:lstStyle/>
                  <a:p>
                    <a:fld id="{AD0F0BB7-F8E9-4B8B-A146-801F148769D0}"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2140-45CF-9311-530F76B5125D}"/>
                </c:ext>
              </c:extLst>
            </c:dLbl>
            <c:dLbl>
              <c:idx val="2"/>
              <c:tx>
                <c:rich>
                  <a:bodyPr/>
                  <a:lstStyle/>
                  <a:p>
                    <a:fld id="{EC3B7712-935D-4F1C-A6AD-27A57401CDC0}"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2140-45CF-9311-530F76B5125D}"/>
                </c:ext>
              </c:extLst>
            </c:dLbl>
            <c:dLbl>
              <c:idx val="3"/>
              <c:tx>
                <c:rich>
                  <a:bodyPr/>
                  <a:lstStyle/>
                  <a:p>
                    <a:fld id="{92A21DE8-1EAF-4369-BBAB-B6FF09A64117}"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2140-45CF-9311-530F76B5125D}"/>
                </c:ext>
              </c:extLst>
            </c:dLbl>
            <c:dLbl>
              <c:idx val="4"/>
              <c:tx>
                <c:rich>
                  <a:bodyPr/>
                  <a:lstStyle/>
                  <a:p>
                    <a:fld id="{45F16D10-8E9C-46B0-85AB-A399ED5F63CA}"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2140-45CF-9311-530F76B5125D}"/>
                </c:ext>
              </c:extLst>
            </c:dLbl>
            <c:dLbl>
              <c:idx val="5"/>
              <c:tx>
                <c:rich>
                  <a:bodyPr/>
                  <a:lstStyle/>
                  <a:p>
                    <a:fld id="{2D043695-20A7-4034-A9E0-045439FA8022}"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2140-45CF-9311-530F76B5125D}"/>
                </c:ext>
              </c:extLst>
            </c:dLbl>
            <c:dLbl>
              <c:idx val="6"/>
              <c:tx>
                <c:rich>
                  <a:bodyPr/>
                  <a:lstStyle/>
                  <a:p>
                    <a:fld id="{583D9454-FC63-4CE8-A407-28A866DD1DAD}"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2140-45CF-9311-530F76B5125D}"/>
                </c:ext>
              </c:extLst>
            </c:dLbl>
            <c:dLbl>
              <c:idx val="7"/>
              <c:tx>
                <c:rich>
                  <a:bodyPr/>
                  <a:lstStyle/>
                  <a:p>
                    <a:fld id="{CD47B4CE-CEA1-4DAD-94A7-AEBBB38C87E9}"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2140-45CF-9311-530F76B5125D}"/>
                </c:ext>
              </c:extLst>
            </c:dLbl>
            <c:dLbl>
              <c:idx val="8"/>
              <c:tx>
                <c:rich>
                  <a:bodyPr/>
                  <a:lstStyle/>
                  <a:p>
                    <a:fld id="{E77EC682-674E-439D-B652-BE9974815C7A}"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2140-45CF-9311-530F76B5125D}"/>
                </c:ext>
              </c:extLst>
            </c:dLbl>
            <c:dLbl>
              <c:idx val="9"/>
              <c:tx>
                <c:rich>
                  <a:bodyPr/>
                  <a:lstStyle/>
                  <a:p>
                    <a:fld id="{BAFC3EFD-4491-4F3C-B289-4BF5A7FC6155}"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2140-45CF-9311-530F76B5125D}"/>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'RES Alternatives'!$C$80:$L$80</c:f>
              <c:strCache>
                <c:ptCount val="10"/>
                <c:pt idx="0">
                  <c:v>DH system (reference)</c:v>
                </c:pt>
                <c:pt idx="1">
                  <c:v>Waste heat + Heat pump</c:v>
                </c:pt>
                <c:pt idx="2">
                  <c:v>Biomass boiler + Solar thermal</c:v>
                </c:pt>
                <c:pt idx="3">
                  <c:v>Biomass boiler (wood chips)</c:v>
                </c:pt>
                <c:pt idx="4">
                  <c:v>Ambient/Geothermal + heat pump</c:v>
                </c:pt>
                <c:pt idx="5">
                  <c:v>Custom 1</c:v>
                </c:pt>
                <c:pt idx="6">
                  <c:v>Custom 2</c:v>
                </c:pt>
                <c:pt idx="7">
                  <c:v>Custom 3</c:v>
                </c:pt>
                <c:pt idx="8">
                  <c:v>Custom 4</c:v>
                </c:pt>
                <c:pt idx="9">
                  <c:v>Custom 5</c:v>
                </c:pt>
              </c:strCache>
            </c:strRef>
          </c:cat>
          <c:val>
            <c:numRef>
              <c:f>'RES Alternatives'!$C$89:$L$89</c:f>
              <c:numCache>
                <c:formatCode>0</c:formatCode>
                <c:ptCount val="10"/>
                <c:pt idx="0">
                  <c:v>14.664309843093456</c:v>
                </c:pt>
                <c:pt idx="1">
                  <c:v>43.992929529280367</c:v>
                </c:pt>
                <c:pt idx="2">
                  <c:v>27.602803593240889</c:v>
                </c:pt>
                <c:pt idx="3">
                  <c:v>25.014811874814388</c:v>
                </c:pt>
                <c:pt idx="4">
                  <c:v>18.459054468795607</c:v>
                </c:pt>
                <c:pt idx="5">
                  <c:v>15.382545390663001</c:v>
                </c:pt>
                <c:pt idx="6">
                  <c:v>15.382545390663001</c:v>
                </c:pt>
                <c:pt idx="7">
                  <c:v>15.382545390663001</c:v>
                </c:pt>
                <c:pt idx="8">
                  <c:v>15.382545390663001</c:v>
                </c:pt>
                <c:pt idx="9">
                  <c:v>15.382545390663001</c:v>
                </c:pt>
              </c:numCache>
            </c:numRef>
          </c:val>
          <c:extLst>
            <c:ext xmlns:c15="http://schemas.microsoft.com/office/drawing/2012/chart" uri="{02D57815-91ED-43cb-92C2-25804820EDAC}">
              <c15:datalabelsRange>
                <c15:f>'RES Alternatives'!$C$86:$L$86</c15:f>
                <c15:dlblRangeCache>
                  <c:ptCount val="10"/>
                  <c:pt idx="0">
                    <c:v>7%</c:v>
                  </c:pt>
                  <c:pt idx="1">
                    <c:v>32%</c:v>
                  </c:pt>
                  <c:pt idx="2">
                    <c:v>34%</c:v>
                  </c:pt>
                  <c:pt idx="3">
                    <c:v>28%</c:v>
                  </c:pt>
                  <c:pt idx="4">
                    <c:v>12%</c:v>
                  </c:pt>
                  <c:pt idx="5">
                    <c:v>9%</c:v>
                  </c:pt>
                  <c:pt idx="6">
                    <c:v>13%</c:v>
                  </c:pt>
                  <c:pt idx="7">
                    <c:v>16%</c:v>
                  </c:pt>
                  <c:pt idx="8">
                    <c:v>16%</c:v>
                  </c:pt>
                  <c:pt idx="9">
                    <c:v>9%</c:v>
                  </c:pt>
                </c15:dlblRangeCache>
              </c15:datalabelsRange>
            </c:ext>
            <c:ext xmlns:c16="http://schemas.microsoft.com/office/drawing/2014/chart" uri="{C3380CC4-5D6E-409C-BE32-E72D297353CC}">
              <c16:uniqueId val="{00000000-2140-45CF-9311-530F76B5125D}"/>
            </c:ext>
          </c:extLst>
        </c:ser>
        <c:ser>
          <c:idx val="1"/>
          <c:order val="1"/>
          <c:tx>
            <c:v>Variable costs</c:v>
          </c:tx>
          <c:spPr>
            <a:solidFill>
              <a:schemeClr val="accent6">
                <a:lumMod val="20000"/>
                <a:lumOff val="80000"/>
              </a:schemeClr>
            </a:solidFill>
            <a:ln>
              <a:solidFill>
                <a:schemeClr val="tx1"/>
              </a:solidFill>
            </a:ln>
            <a:effectLst/>
          </c:spPr>
          <c:invertIfNegative val="0"/>
          <c:dLbls>
            <c:dLbl>
              <c:idx val="0"/>
              <c:tx>
                <c:rich>
                  <a:bodyPr/>
                  <a:lstStyle/>
                  <a:p>
                    <a:fld id="{304CDEFE-4F26-4F86-8B4A-8DC5DD19A61F}" type="CELLRANGE">
                      <a:rPr lang="en-US"/>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2140-45CF-9311-530F76B5125D}"/>
                </c:ext>
              </c:extLst>
            </c:dLbl>
            <c:dLbl>
              <c:idx val="1"/>
              <c:tx>
                <c:rich>
                  <a:bodyPr/>
                  <a:lstStyle/>
                  <a:p>
                    <a:fld id="{645619F9-CA41-4CE9-9421-511AB9144704}"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2140-45CF-9311-530F76B5125D}"/>
                </c:ext>
              </c:extLst>
            </c:dLbl>
            <c:dLbl>
              <c:idx val="2"/>
              <c:tx>
                <c:rich>
                  <a:bodyPr/>
                  <a:lstStyle/>
                  <a:p>
                    <a:fld id="{3066CE74-6960-4DF1-BBFA-9EF6D978359C}"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2140-45CF-9311-530F76B5125D}"/>
                </c:ext>
              </c:extLst>
            </c:dLbl>
            <c:dLbl>
              <c:idx val="3"/>
              <c:tx>
                <c:rich>
                  <a:bodyPr/>
                  <a:lstStyle/>
                  <a:p>
                    <a:fld id="{4304FCC8-BAC5-44D1-9823-DF138692F9C6}"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2140-45CF-9311-530F76B5125D}"/>
                </c:ext>
              </c:extLst>
            </c:dLbl>
            <c:dLbl>
              <c:idx val="4"/>
              <c:tx>
                <c:rich>
                  <a:bodyPr/>
                  <a:lstStyle/>
                  <a:p>
                    <a:fld id="{AB1D1FC6-4E50-4E58-B138-3F49A94A3774}"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2140-45CF-9311-530F76B5125D}"/>
                </c:ext>
              </c:extLst>
            </c:dLbl>
            <c:dLbl>
              <c:idx val="5"/>
              <c:tx>
                <c:rich>
                  <a:bodyPr/>
                  <a:lstStyle/>
                  <a:p>
                    <a:fld id="{59F3A337-2312-4A2C-8DDE-C8C67E670602}"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2140-45CF-9311-530F76B5125D}"/>
                </c:ext>
              </c:extLst>
            </c:dLbl>
            <c:dLbl>
              <c:idx val="6"/>
              <c:tx>
                <c:rich>
                  <a:bodyPr/>
                  <a:lstStyle/>
                  <a:p>
                    <a:fld id="{8D029CC4-A66A-4D1F-9822-34C8038CAE1E}"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2140-45CF-9311-530F76B5125D}"/>
                </c:ext>
              </c:extLst>
            </c:dLbl>
            <c:dLbl>
              <c:idx val="7"/>
              <c:tx>
                <c:rich>
                  <a:bodyPr/>
                  <a:lstStyle/>
                  <a:p>
                    <a:fld id="{98FA0501-375C-4C3D-A1C7-21B744382E9B}"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2140-45CF-9311-530F76B5125D}"/>
                </c:ext>
              </c:extLst>
            </c:dLbl>
            <c:dLbl>
              <c:idx val="8"/>
              <c:tx>
                <c:rich>
                  <a:bodyPr/>
                  <a:lstStyle/>
                  <a:p>
                    <a:fld id="{4CFD3F35-7051-4BD9-8F8F-2BF7F7BCCC3A}"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2140-45CF-9311-530F76B5125D}"/>
                </c:ext>
              </c:extLst>
            </c:dLbl>
            <c:dLbl>
              <c:idx val="9"/>
              <c:tx>
                <c:rich>
                  <a:bodyPr/>
                  <a:lstStyle/>
                  <a:p>
                    <a:fld id="{8AC7670B-21BE-483A-9DD3-A1BE51716845}" type="CELLRANGE">
                      <a:rPr lang="de-AT"/>
                      <a:pPr/>
                      <a:t>[ZELLBEREICH]</a:t>
                    </a:fld>
                    <a:endParaRPr lang="de-AT"/>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2140-45CF-9311-530F76B5125D}"/>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'RES Alternatives'!$C$80:$L$80</c:f>
              <c:strCache>
                <c:ptCount val="10"/>
                <c:pt idx="0">
                  <c:v>DH system (reference)</c:v>
                </c:pt>
                <c:pt idx="1">
                  <c:v>Waste heat + Heat pump</c:v>
                </c:pt>
                <c:pt idx="2">
                  <c:v>Biomass boiler + Solar thermal</c:v>
                </c:pt>
                <c:pt idx="3">
                  <c:v>Biomass boiler (wood chips)</c:v>
                </c:pt>
                <c:pt idx="4">
                  <c:v>Ambient/Geothermal + heat pump</c:v>
                </c:pt>
                <c:pt idx="5">
                  <c:v>Custom 1</c:v>
                </c:pt>
                <c:pt idx="6">
                  <c:v>Custom 2</c:v>
                </c:pt>
                <c:pt idx="7">
                  <c:v>Custom 3</c:v>
                </c:pt>
                <c:pt idx="8">
                  <c:v>Custom 4</c:v>
                </c:pt>
                <c:pt idx="9">
                  <c:v>Custom 5</c:v>
                </c:pt>
              </c:strCache>
            </c:strRef>
          </c:cat>
          <c:val>
            <c:numRef>
              <c:f>'RES Alternatives'!$C$90:$L$90</c:f>
              <c:numCache>
                <c:formatCode>0</c:formatCode>
                <c:ptCount val="10"/>
                <c:pt idx="0">
                  <c:v>188.13808494675709</c:v>
                </c:pt>
                <c:pt idx="1">
                  <c:v>94.686609056475334</c:v>
                </c:pt>
                <c:pt idx="2">
                  <c:v>54.178708891059976</c:v>
                </c:pt>
                <c:pt idx="3">
                  <c:v>64.730689216953508</c:v>
                </c:pt>
                <c:pt idx="4">
                  <c:v>133.0087509720652</c:v>
                </c:pt>
                <c:pt idx="5">
                  <c:v>148.62541192693914</c:v>
                </c:pt>
                <c:pt idx="6">
                  <c:v>106.67805057194633</c:v>
                </c:pt>
                <c:pt idx="7">
                  <c:v>79.708649136714413</c:v>
                </c:pt>
                <c:pt idx="8">
                  <c:v>81.800204655731434</c:v>
                </c:pt>
                <c:pt idx="9">
                  <c:v>147.17553105065963</c:v>
                </c:pt>
              </c:numCache>
            </c:numRef>
          </c:val>
          <c:extLst>
            <c:ext xmlns:c15="http://schemas.microsoft.com/office/drawing/2012/chart" uri="{02D57815-91ED-43cb-92C2-25804820EDAC}">
              <c15:datalabelsRange>
                <c15:f>'RES Alternatives'!$C$87:$L$87</c15:f>
                <c15:dlblRangeCache>
                  <c:ptCount val="10"/>
                  <c:pt idx="0">
                    <c:v>93%</c:v>
                  </c:pt>
                  <c:pt idx="1">
                    <c:v>68%</c:v>
                  </c:pt>
                  <c:pt idx="2">
                    <c:v>66%</c:v>
                  </c:pt>
                  <c:pt idx="3">
                    <c:v>72%</c:v>
                  </c:pt>
                  <c:pt idx="4">
                    <c:v>88%</c:v>
                  </c:pt>
                  <c:pt idx="5">
                    <c:v>91%</c:v>
                  </c:pt>
                  <c:pt idx="6">
                    <c:v>87%</c:v>
                  </c:pt>
                  <c:pt idx="7">
                    <c:v>84%</c:v>
                  </c:pt>
                  <c:pt idx="8">
                    <c:v>84%</c:v>
                  </c:pt>
                  <c:pt idx="9">
                    <c:v>91%</c:v>
                  </c:pt>
                </c15:dlblRangeCache>
              </c15:datalabelsRange>
            </c:ext>
            <c:ext xmlns:c16="http://schemas.microsoft.com/office/drawing/2014/chart" uri="{C3380CC4-5D6E-409C-BE32-E72D297353CC}">
              <c16:uniqueId val="{00000001-2140-45CF-9311-530F76B5125D}"/>
            </c:ext>
          </c:extLst>
        </c:ser>
        <c:dLbls>
          <c:showLegendKey val="0"/>
          <c:showVal val="0"/>
          <c:showCatName val="0"/>
          <c:showSerName val="0"/>
          <c:showPercent val="0"/>
          <c:showBubbleSize val="0"/>
        </c:dLbls>
        <c:gapWidth val="150"/>
        <c:overlap val="100"/>
        <c:axId val="176872880"/>
        <c:axId val="176873840"/>
      </c:barChart>
      <c:lineChart>
        <c:grouping val="standard"/>
        <c:varyColors val="0"/>
        <c:ser>
          <c:idx val="2"/>
          <c:order val="2"/>
          <c:tx>
            <c:v>Heat production costs</c:v>
          </c:tx>
          <c:spPr>
            <a:ln w="12700" cap="rnd">
              <a:solidFill>
                <a:schemeClr val="tx1"/>
              </a:solidFill>
              <a:prstDash val="dash"/>
              <a:round/>
            </a:ln>
            <a:effectLst/>
          </c:spPr>
          <c:marker>
            <c:symbol val="circle"/>
            <c:size val="5"/>
            <c:spPr>
              <a:solidFill>
                <a:srgbClr val="FF0000"/>
              </a:solidFill>
              <a:ln w="9525">
                <a:solidFill>
                  <a:schemeClr val="tx1"/>
                </a:solidFill>
              </a:ln>
              <a:effectLst/>
            </c:spPr>
          </c:marker>
          <c:dLbls>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'RES Alternatives'!$C$88:$L$88</c:f>
              <c:numCache>
                <c:formatCode>0</c:formatCode>
                <c:ptCount val="10"/>
                <c:pt idx="0">
                  <c:v>202.80239478985052</c:v>
                </c:pt>
                <c:pt idx="1">
                  <c:v>138.67953858575572</c:v>
                </c:pt>
                <c:pt idx="2">
                  <c:v>81.781512484300876</c:v>
                </c:pt>
                <c:pt idx="3">
                  <c:v>89.745501091767906</c:v>
                </c:pt>
                <c:pt idx="4">
                  <c:v>151.46780544086081</c:v>
                </c:pt>
                <c:pt idx="5">
                  <c:v>164.00795731760215</c:v>
                </c:pt>
                <c:pt idx="6">
                  <c:v>122.06059596260933</c:v>
                </c:pt>
                <c:pt idx="7">
                  <c:v>95.091194527377411</c:v>
                </c:pt>
                <c:pt idx="8">
                  <c:v>97.182750046394432</c:v>
                </c:pt>
                <c:pt idx="9">
                  <c:v>162.55807644132264</c:v>
                </c:pt>
              </c:numCache>
            </c:numRef>
          </c:val>
          <c:smooth val="0"/>
          <c:extLst>
            <c:ext xmlns:c16="http://schemas.microsoft.com/office/drawing/2014/chart" uri="{C3380CC4-5D6E-409C-BE32-E72D297353CC}">
              <c16:uniqueId val="{00000002-2140-45CF-9311-530F76B5125D}"/>
            </c:ext>
          </c:extLst>
        </c:ser>
        <c:dLbls>
          <c:showLegendKey val="0"/>
          <c:showVal val="0"/>
          <c:showCatName val="0"/>
          <c:showSerName val="0"/>
          <c:showPercent val="0"/>
          <c:showBubbleSize val="0"/>
        </c:dLbls>
        <c:marker val="1"/>
        <c:smooth val="0"/>
        <c:axId val="176872880"/>
        <c:axId val="176873840"/>
      </c:lineChart>
      <c:catAx>
        <c:axId val="176872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crossAx val="176873840"/>
        <c:crosses val="autoZero"/>
        <c:auto val="1"/>
        <c:lblAlgn val="ctr"/>
        <c:lblOffset val="100"/>
        <c:noMultiLvlLbl val="0"/>
      </c:catAx>
      <c:valAx>
        <c:axId val="176873840"/>
        <c:scaling>
          <c:orientation val="minMax"/>
        </c:scaling>
        <c:delete val="0"/>
        <c:axPos val="l"/>
        <c:majorGridlines>
          <c:spPr>
            <a:ln w="9525" cap="flat" cmpd="sng" algn="ctr">
              <a:solidFill>
                <a:schemeClr val="tx1">
                  <a:lumMod val="15000"/>
                  <a:lumOff val="85000"/>
                </a:schemeClr>
              </a:solidFill>
              <a:prstDash val="dash"/>
              <a:round/>
            </a:ln>
            <a:effectLst/>
          </c:spPr>
        </c:majorGridlines>
        <c:title>
          <c:tx>
            <c:strRef>
              <c:f>'RES Alternatives'!$B$88</c:f>
              <c:strCache>
                <c:ptCount val="1"/>
                <c:pt idx="0">
                  <c:v>[EUR/MWh]</c:v>
                </c:pt>
              </c:strCache>
            </c:strRef>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crossAx val="17687288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100"/>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'RES Alternatives'!$A$73</c:f>
              <c:strCache>
                <c:ptCount val="1"/>
                <c:pt idx="0">
                  <c:v>Emissions of CO₂ equivalent</c:v>
                </c:pt>
              </c:strCache>
            </c:strRef>
          </c:tx>
          <c:spPr>
            <a:solidFill>
              <a:schemeClr val="accent3"/>
            </a:solidFill>
            <a:ln w="19050">
              <a:solidFill>
                <a:schemeClr val="tx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 Alternatives'!$C$80:$L$80</c:f>
              <c:strCache>
                <c:ptCount val="10"/>
                <c:pt idx="0">
                  <c:v>DH system (reference)</c:v>
                </c:pt>
                <c:pt idx="1">
                  <c:v>Waste heat + Heat pump</c:v>
                </c:pt>
                <c:pt idx="2">
                  <c:v>Biomass boiler + Solar thermal</c:v>
                </c:pt>
                <c:pt idx="3">
                  <c:v>Biomass boiler (wood chips)</c:v>
                </c:pt>
                <c:pt idx="4">
                  <c:v>Ambient/Geothermal + heat pump</c:v>
                </c:pt>
                <c:pt idx="5">
                  <c:v>Custom 1</c:v>
                </c:pt>
                <c:pt idx="6">
                  <c:v>Custom 2</c:v>
                </c:pt>
                <c:pt idx="7">
                  <c:v>Custom 3</c:v>
                </c:pt>
                <c:pt idx="8">
                  <c:v>Custom 4</c:v>
                </c:pt>
                <c:pt idx="9">
                  <c:v>Custom 5</c:v>
                </c:pt>
              </c:strCache>
            </c:strRef>
          </c:cat>
          <c:val>
            <c:numRef>
              <c:f>'RES Alternatives'!$C$73:$L$73</c:f>
              <c:numCache>
                <c:formatCode>_-* #,##0_-;\-* #,##0_-;_-* "-"??_-;_-@_-</c:formatCode>
                <c:ptCount val="10"/>
                <c:pt idx="0">
                  <c:v>5916.9727403156394</c:v>
                </c:pt>
                <c:pt idx="1">
                  <c:v>670.98151260504198</c:v>
                </c:pt>
                <c:pt idx="2">
                  <c:v>272.01910588235296</c:v>
                </c:pt>
                <c:pt idx="3">
                  <c:v>324.70588235294122</c:v>
                </c:pt>
                <c:pt idx="4">
                  <c:v>680.8</c:v>
                </c:pt>
                <c:pt idx="5">
                  <c:v>4172.4705882352946</c:v>
                </c:pt>
                <c:pt idx="6">
                  <c:v>2248.5882352941176</c:v>
                </c:pt>
                <c:pt idx="7">
                  <c:v>497.8436974789916</c:v>
                </c:pt>
                <c:pt idx="8">
                  <c:v>413.7294117647059</c:v>
                </c:pt>
                <c:pt idx="9">
                  <c:v>2353.2517647058826</c:v>
                </c:pt>
              </c:numCache>
            </c:numRef>
          </c:val>
          <c:extLst>
            <c:ext xmlns:c16="http://schemas.microsoft.com/office/drawing/2014/chart" uri="{C3380CC4-5D6E-409C-BE32-E72D297353CC}">
              <c16:uniqueId val="{0000000A-4A35-4167-BA8C-21033016A834}"/>
            </c:ext>
          </c:extLst>
        </c:ser>
        <c:ser>
          <c:idx val="2"/>
          <c:order val="1"/>
          <c:tx>
            <c:strRef>
              <c:f>'RES Alternatives'!$A$74</c:f>
              <c:strCache>
                <c:ptCount val="1"/>
                <c:pt idx="0">
                  <c:v>Savings of CO₂ equivalent respect to reference</c:v>
                </c:pt>
              </c:strCache>
            </c:strRef>
          </c:tx>
          <c:spPr>
            <a:solidFill>
              <a:schemeClr val="bg1"/>
            </a:solidFill>
            <a:ln>
              <a:solidFill>
                <a:schemeClr val="tx1"/>
              </a:solidFill>
              <a:prstDash val="dash"/>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de-DE"/>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'RES Alternatives'!$C$74:$L$74</c:f>
              <c:numCache>
                <c:formatCode>_-* #,##0_-;\-* #,##0_-;_-* "-"??_-;_-@_-</c:formatCode>
                <c:ptCount val="10"/>
                <c:pt idx="1">
                  <c:v>5245.9912277105977</c:v>
                </c:pt>
                <c:pt idx="2">
                  <c:v>5644.9536344332864</c:v>
                </c:pt>
                <c:pt idx="3">
                  <c:v>5592.2668579626979</c:v>
                </c:pt>
                <c:pt idx="4">
                  <c:v>5236.1727403156392</c:v>
                </c:pt>
                <c:pt idx="5">
                  <c:v>1744.5021520803448</c:v>
                </c:pt>
                <c:pt idx="6">
                  <c:v>3668.3845050215218</c:v>
                </c:pt>
                <c:pt idx="7">
                  <c:v>5419.1290428366474</c:v>
                </c:pt>
                <c:pt idx="8">
                  <c:v>5503.2433285509333</c:v>
                </c:pt>
                <c:pt idx="9">
                  <c:v>3563.7209756097568</c:v>
                </c:pt>
              </c:numCache>
            </c:numRef>
          </c:val>
          <c:extLst>
            <c:ext xmlns:c16="http://schemas.microsoft.com/office/drawing/2014/chart" uri="{C3380CC4-5D6E-409C-BE32-E72D297353CC}">
              <c16:uniqueId val="{00000016-4A35-4167-BA8C-21033016A834}"/>
            </c:ext>
          </c:extLst>
        </c:ser>
        <c:dLbls>
          <c:showLegendKey val="0"/>
          <c:showVal val="0"/>
          <c:showCatName val="0"/>
          <c:showSerName val="0"/>
          <c:showPercent val="0"/>
          <c:showBubbleSize val="0"/>
        </c:dLbls>
        <c:gapWidth val="150"/>
        <c:overlap val="100"/>
        <c:axId val="176872880"/>
        <c:axId val="176873840"/>
      </c:barChart>
      <c:catAx>
        <c:axId val="176872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crossAx val="176873840"/>
        <c:crosses val="autoZero"/>
        <c:auto val="1"/>
        <c:lblAlgn val="ctr"/>
        <c:lblOffset val="100"/>
        <c:noMultiLvlLbl val="0"/>
      </c:catAx>
      <c:valAx>
        <c:axId val="176873840"/>
        <c:scaling>
          <c:orientation val="minMax"/>
        </c:scaling>
        <c:delete val="0"/>
        <c:axPos val="l"/>
        <c:majorGridlines>
          <c:spPr>
            <a:ln w="9525" cap="flat" cmpd="sng" algn="ctr">
              <a:solidFill>
                <a:schemeClr val="tx1">
                  <a:lumMod val="15000"/>
                  <a:lumOff val="85000"/>
                </a:schemeClr>
              </a:solidFill>
              <a:prstDash val="dash"/>
              <a:round/>
            </a:ln>
            <a:effectLst/>
          </c:spPr>
        </c:majorGridlines>
        <c:title>
          <c:tx>
            <c:strRef>
              <c:f>'RES Alternatives'!$B$73</c:f>
              <c:strCache>
                <c:ptCount val="1"/>
                <c:pt idx="0">
                  <c:v>[t/a]</c:v>
                </c:pt>
              </c:strCache>
            </c:strRef>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title>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crossAx val="17687288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100"/>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396240</xdr:colOff>
      <xdr:row>0</xdr:row>
      <xdr:rowOff>0</xdr:rowOff>
    </xdr:from>
    <xdr:to>
      <xdr:col>0</xdr:col>
      <xdr:colOff>4384245</xdr:colOff>
      <xdr:row>0</xdr:row>
      <xdr:rowOff>1692362</xdr:rowOff>
    </xdr:to>
    <xdr:pic>
      <xdr:nvPicPr>
        <xdr:cNvPr id="3" name="Grafik 2" descr="Ein Bild, das Text, Screenshot, Schrift, Logo enthält.&#10;&#10;KI-generierte Inhalte können fehlerhaft sein.">
          <a:extLst>
            <a:ext uri="{FF2B5EF4-FFF2-40B4-BE49-F238E27FC236}">
              <a16:creationId xmlns:a16="http://schemas.microsoft.com/office/drawing/2014/main" id="{1EB00EB1-49E1-C865-B59F-E523FA4725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240" y="0"/>
          <a:ext cx="3988005" cy="16923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152399</xdr:colOff>
      <xdr:row>92</xdr:row>
      <xdr:rowOff>23810</xdr:rowOff>
    </xdr:from>
    <xdr:to>
      <xdr:col>11</xdr:col>
      <xdr:colOff>795074</xdr:colOff>
      <xdr:row>113</xdr:row>
      <xdr:rowOff>190499</xdr:rowOff>
    </xdr:to>
    <xdr:graphicFrame macro="">
      <xdr:nvGraphicFramePr>
        <xdr:cNvPr id="2" name="Diagramm 1">
          <a:extLst>
            <a:ext uri="{FF2B5EF4-FFF2-40B4-BE49-F238E27FC236}">
              <a16:creationId xmlns:a16="http://schemas.microsoft.com/office/drawing/2014/main" id="{A01A24B6-BD5F-CC0C-D7EE-5615EABEB3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114300</xdr:colOff>
      <xdr:row>114</xdr:row>
      <xdr:rowOff>66674</xdr:rowOff>
    </xdr:from>
    <xdr:to>
      <xdr:col>11</xdr:col>
      <xdr:colOff>756975</xdr:colOff>
      <xdr:row>137</xdr:row>
      <xdr:rowOff>47174</xdr:rowOff>
    </xdr:to>
    <xdr:graphicFrame macro="">
      <xdr:nvGraphicFramePr>
        <xdr:cNvPr id="3" name="Diagramm 2">
          <a:extLst>
            <a:ext uri="{FF2B5EF4-FFF2-40B4-BE49-F238E27FC236}">
              <a16:creationId xmlns:a16="http://schemas.microsoft.com/office/drawing/2014/main" id="{4AD0A6DD-2366-4B28-811D-DD4E8E51C1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heizoel24.at/charts/heizoel" TargetMode="External"/><Relationship Id="rId13" Type="http://schemas.openxmlformats.org/officeDocument/2006/relationships/hyperlink" Target="https://www.e-control.at/gewerbe-strompreis-monitor" TargetMode="External"/><Relationship Id="rId18" Type="http://schemas.openxmlformats.org/officeDocument/2006/relationships/printerSettings" Target="../printerSettings/printerSettings3.bin"/><Relationship Id="rId3" Type="http://schemas.openxmlformats.org/officeDocument/2006/relationships/hyperlink" Target="https://noe.lko.at/aktueller-energieholzindex+2500+1297728" TargetMode="External"/><Relationship Id="rId7" Type="http://schemas.openxmlformats.org/officeDocument/2006/relationships/hyperlink" Target="https://www.ris.bka.gv.at/GeltendeFassung.wxe?Abfrage=Bundesnormen&amp;Gesetzesnummer=20007992" TargetMode="External"/><Relationship Id="rId12" Type="http://schemas.openxmlformats.org/officeDocument/2006/relationships/hyperlink" Target="https://www.klimaaktiv.at/fileadmin/Bibliothek/Downloads/Energie/Wood_Fuel_Parameter_Calculator_v1.8.xlsm" TargetMode="External"/><Relationship Id="rId17" Type="http://schemas.openxmlformats.org/officeDocument/2006/relationships/hyperlink" Target="https://www.e-control.at/gewerbe-gaspreis-monitor" TargetMode="External"/><Relationship Id="rId2" Type="http://schemas.openxmlformats.org/officeDocument/2006/relationships/hyperlink" Target="https://www.statistik.at/web_de/statistiken/wirtschaft/land_und_forstwirtschaft/preise_bilanzen/preise/index.html" TargetMode="External"/><Relationship Id="rId16" Type="http://schemas.openxmlformats.org/officeDocument/2006/relationships/hyperlink" Target="https://doi.org/10.1016/j.biombioe.2003.07.006" TargetMode="External"/><Relationship Id="rId1" Type="http://schemas.openxmlformats.org/officeDocument/2006/relationships/hyperlink" Target="https://www.propellets.at/aktuelle-pelletpreise" TargetMode="External"/><Relationship Id="rId6" Type="http://schemas.openxmlformats.org/officeDocument/2006/relationships/hyperlink" Target="https://www.brennstoffe.kaufen/" TargetMode="External"/><Relationship Id="rId11" Type="http://schemas.openxmlformats.org/officeDocument/2006/relationships/hyperlink" Target="https://www.oib.or.at/wp-content/uploads/erlaeuternde-bemerkungen-zu-oib-rl-6-2019.pdf" TargetMode="External"/><Relationship Id="rId5" Type="http://schemas.openxmlformats.org/officeDocument/2006/relationships/hyperlink" Target="https://www.energieinstitut.at/buerger/haustechnik-energieversorgung/energiepreise-im-vergleich/" TargetMode="External"/><Relationship Id="rId15" Type="http://schemas.openxmlformats.org/officeDocument/2006/relationships/hyperlink" Target="https://energy.ec.europa.eu/data-and-analysis/energy-prices-and-costs-europe_en" TargetMode="External"/><Relationship Id="rId10" Type="http://schemas.openxmlformats.org/officeDocument/2006/relationships/hyperlink" Target="https://www.oib.or.at/wp-content/uploads/oib-rl-6-energieeinsparung-und-waermeschutz-2019.pdf" TargetMode="External"/><Relationship Id="rId4" Type="http://schemas.openxmlformats.org/officeDocument/2006/relationships/hyperlink" Target="https://www.engineeringtoolbox.com/fuels-higher-calorific-values-d_169.html" TargetMode="External"/><Relationship Id="rId9" Type="http://schemas.openxmlformats.org/officeDocument/2006/relationships/hyperlink" Target="https://www.oib.or.at/wp-content/uploads/erlaeuterungen_oib-rl_6_ausgabe_september_2025.pdf" TargetMode="External"/><Relationship Id="rId14" Type="http://schemas.openxmlformats.org/officeDocument/2006/relationships/hyperlink" Target="https://ember-energy.org/data/european-wholesale-electricity-price-data/"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task52.iea-shc.org/" TargetMode="External"/><Relationship Id="rId7" Type="http://schemas.openxmlformats.org/officeDocument/2006/relationships/drawing" Target="../drawings/drawing2.xml"/><Relationship Id="rId2" Type="http://schemas.openxmlformats.org/officeDocument/2006/relationships/hyperlink" Target="https://ens.dk/en/analyses-and-statistics/technology-catalogues" TargetMode="External"/><Relationship Id="rId1" Type="http://schemas.openxmlformats.org/officeDocument/2006/relationships/hyperlink" Target="https://www.kea-bw.de/waermewende/angebote/downloads" TargetMode="External"/><Relationship Id="rId6" Type="http://schemas.openxmlformats.org/officeDocument/2006/relationships/printerSettings" Target="../printerSettings/printerSettings4.bin"/><Relationship Id="rId5" Type="http://schemas.openxmlformats.org/officeDocument/2006/relationships/hyperlink" Target="https://heatpumpingtechnologies.org/publications/annex-58-high-temperature-heat-pumps-final-report/" TargetMode="External"/><Relationship Id="rId4" Type="http://schemas.openxmlformats.org/officeDocument/2006/relationships/hyperlink" Target="https://nachhaltigwirtschaften.at/de/iea/publikationen/iea-hpt-annex-48-industrial-heat-pumps-austrian-report-task4-2019.ph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16"/>
  <sheetViews>
    <sheetView showGridLines="0" tabSelected="1" workbookViewId="0">
      <selection activeCell="A2" sqref="A2"/>
    </sheetView>
  </sheetViews>
  <sheetFormatPr baseColWidth="10" defaultColWidth="11.44140625" defaultRowHeight="14.4" x14ac:dyDescent="0.3"/>
  <cols>
    <col min="1" max="1" width="74.6640625" customWidth="1"/>
  </cols>
  <sheetData>
    <row r="1" spans="1:1" ht="144" customHeight="1" x14ac:dyDescent="0.3"/>
    <row r="2" spans="1:1" ht="93" x14ac:dyDescent="0.3">
      <c r="A2" s="179" t="s">
        <v>0</v>
      </c>
    </row>
    <row r="3" spans="1:1" ht="18" x14ac:dyDescent="0.3">
      <c r="A3" s="10"/>
    </row>
    <row r="4" spans="1:1" x14ac:dyDescent="0.3">
      <c r="A4" s="177" t="s">
        <v>1</v>
      </c>
    </row>
    <row r="5" spans="1:1" x14ac:dyDescent="0.3">
      <c r="A5" s="178" t="s">
        <v>2</v>
      </c>
    </row>
    <row r="16" spans="1:1" x14ac:dyDescent="0.3">
      <c r="A16" t="s">
        <v>296</v>
      </c>
    </row>
  </sheetData>
  <sheetProtection sheet="1" objects="1" scenarios="1"/>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B32"/>
  <sheetViews>
    <sheetView showGridLines="0" workbookViewId="0">
      <selection activeCell="B2" sqref="B2"/>
    </sheetView>
  </sheetViews>
  <sheetFormatPr baseColWidth="10" defaultColWidth="11.44140625" defaultRowHeight="14.4" x14ac:dyDescent="0.3"/>
  <cols>
    <col min="1" max="1" width="5.44140625" customWidth="1"/>
    <col min="2" max="2" width="125.6640625" style="61" customWidth="1"/>
  </cols>
  <sheetData>
    <row r="1" spans="1:2" x14ac:dyDescent="0.3">
      <c r="A1" s="8"/>
    </row>
    <row r="2" spans="1:2" x14ac:dyDescent="0.3">
      <c r="B2" s="150" t="s">
        <v>3</v>
      </c>
    </row>
    <row r="3" spans="1:2" ht="123.6" customHeight="1" x14ac:dyDescent="0.3">
      <c r="B3" s="151" t="s">
        <v>4</v>
      </c>
    </row>
    <row r="4" spans="1:2" x14ac:dyDescent="0.3">
      <c r="B4" s="152"/>
    </row>
    <row r="5" spans="1:2" x14ac:dyDescent="0.3">
      <c r="B5" s="150" t="s">
        <v>5</v>
      </c>
    </row>
    <row r="6" spans="1:2" ht="77.400000000000006" customHeight="1" x14ac:dyDescent="0.3">
      <c r="B6" s="180" t="s">
        <v>6</v>
      </c>
    </row>
    <row r="7" spans="1:2" x14ac:dyDescent="0.3">
      <c r="B7" s="153" t="s">
        <v>7</v>
      </c>
    </row>
    <row r="8" spans="1:2" ht="57.6" x14ac:dyDescent="0.3">
      <c r="B8" s="212" t="s">
        <v>8</v>
      </c>
    </row>
    <row r="9" spans="1:2" ht="244.8" x14ac:dyDescent="0.3">
      <c r="B9" s="209" t="s">
        <v>9</v>
      </c>
    </row>
    <row r="10" spans="1:2" ht="43.2" x14ac:dyDescent="0.3">
      <c r="B10" s="149" t="s">
        <v>10</v>
      </c>
    </row>
    <row r="11" spans="1:2" ht="57.6" x14ac:dyDescent="0.3">
      <c r="B11" s="212" t="s">
        <v>11</v>
      </c>
    </row>
    <row r="12" spans="1:2" x14ac:dyDescent="0.3">
      <c r="B12" s="153" t="s">
        <v>12</v>
      </c>
    </row>
    <row r="13" spans="1:2" ht="187.2" x14ac:dyDescent="0.3">
      <c r="B13" s="210" t="s">
        <v>13</v>
      </c>
    </row>
    <row r="14" spans="1:2" ht="158.4" x14ac:dyDescent="0.3">
      <c r="B14" s="211" t="s">
        <v>14</v>
      </c>
    </row>
    <row r="15" spans="1:2" x14ac:dyDescent="0.3">
      <c r="B15" s="154" t="s">
        <v>15</v>
      </c>
    </row>
    <row r="16" spans="1:2" x14ac:dyDescent="0.3">
      <c r="B16" s="155" t="s">
        <v>16</v>
      </c>
    </row>
    <row r="17" spans="2:2" ht="129.6" x14ac:dyDescent="0.3">
      <c r="B17" s="211" t="s">
        <v>17</v>
      </c>
    </row>
    <row r="26" spans="2:2" x14ac:dyDescent="0.3">
      <c r="B26" s="62"/>
    </row>
    <row r="27" spans="2:2" x14ac:dyDescent="0.3">
      <c r="B27" s="63"/>
    </row>
    <row r="30" spans="2:2" x14ac:dyDescent="0.3">
      <c r="B30" s="64"/>
    </row>
    <row r="31" spans="2:2" x14ac:dyDescent="0.3">
      <c r="B31" s="64"/>
    </row>
    <row r="32" spans="2:2" x14ac:dyDescent="0.3">
      <c r="B32" s="64"/>
    </row>
  </sheetData>
  <sheetProtection sheet="1" objects="1" scenarios="1"/>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A7D89-3FA3-4F67-9A49-8C23234132F2}">
  <sheetPr codeName="Tabelle3"/>
  <dimension ref="A1:N108"/>
  <sheetViews>
    <sheetView zoomScale="85" zoomScaleNormal="85" workbookViewId="0">
      <selection activeCell="K3" sqref="K3"/>
    </sheetView>
  </sheetViews>
  <sheetFormatPr baseColWidth="10" defaultColWidth="11" defaultRowHeight="14.4" x14ac:dyDescent="0.3"/>
  <cols>
    <col min="1" max="1" width="12.88671875" bestFit="1" customWidth="1"/>
    <col min="2" max="2" width="21.88671875" customWidth="1"/>
    <col min="3" max="3" width="29.109375" bestFit="1" customWidth="1"/>
    <col min="4" max="4" width="8.33203125" bestFit="1" customWidth="1"/>
    <col min="5" max="5" width="16.88671875" bestFit="1" customWidth="1"/>
    <col min="6" max="6" width="11.88671875" bestFit="1" customWidth="1"/>
    <col min="7" max="8" width="10" customWidth="1"/>
    <col min="9" max="9" width="8.88671875" customWidth="1"/>
    <col min="10" max="10" width="30" customWidth="1"/>
    <col min="11" max="11" width="8.33203125" customWidth="1"/>
    <col min="12" max="12" width="6.6640625" customWidth="1"/>
    <col min="13" max="13" width="14.88671875" customWidth="1"/>
    <col min="14" max="14" width="55.33203125" customWidth="1"/>
  </cols>
  <sheetData>
    <row r="1" spans="1:14" ht="15" thickBot="1" x14ac:dyDescent="0.35">
      <c r="C1" s="8" t="s">
        <v>18</v>
      </c>
      <c r="D1" s="1"/>
    </row>
    <row r="2" spans="1:14" ht="15" thickBot="1" x14ac:dyDescent="0.35">
      <c r="C2" s="8" t="s">
        <v>19</v>
      </c>
      <c r="D2" s="12"/>
      <c r="G2" s="66" t="s">
        <v>20</v>
      </c>
      <c r="H2" s="76" t="s">
        <v>21</v>
      </c>
      <c r="J2" s="33" t="s">
        <v>22</v>
      </c>
      <c r="K2" s="31" t="s">
        <v>23</v>
      </c>
      <c r="L2" s="32" t="s">
        <v>24</v>
      </c>
    </row>
    <row r="3" spans="1:14" ht="15" thickBot="1" x14ac:dyDescent="0.35">
      <c r="B3" s="8"/>
      <c r="C3" s="37"/>
      <c r="D3" s="8"/>
      <c r="E3" s="37"/>
      <c r="J3" s="13" t="s">
        <v>25</v>
      </c>
      <c r="K3" s="73">
        <v>0</v>
      </c>
      <c r="L3" s="29" t="str">
        <f ca="1">INDIRECT(ADDRESS(HelpSheet!B15,HelpSheet!F26,1,1,"HelpSheet"))</f>
        <v>[EUR]</v>
      </c>
    </row>
    <row r="4" spans="1:14" ht="15" thickBot="1" x14ac:dyDescent="0.35">
      <c r="B4" s="214" t="s">
        <v>26</v>
      </c>
      <c r="C4" s="215"/>
      <c r="D4" s="215"/>
      <c r="E4" s="216"/>
      <c r="J4" s="14" t="s">
        <v>27</v>
      </c>
      <c r="K4" s="75">
        <v>0.04</v>
      </c>
      <c r="L4" s="30" t="s">
        <v>28</v>
      </c>
    </row>
    <row r="5" spans="1:14" x14ac:dyDescent="0.3">
      <c r="B5" s="50" t="s">
        <v>29</v>
      </c>
      <c r="C5" s="49" t="s">
        <v>30</v>
      </c>
      <c r="D5" s="49" t="s">
        <v>23</v>
      </c>
      <c r="E5" s="26" t="s">
        <v>24</v>
      </c>
      <c r="F5" s="217" t="s">
        <v>31</v>
      </c>
      <c r="G5" s="218"/>
      <c r="H5" s="218"/>
      <c r="I5" s="218"/>
      <c r="J5" s="218"/>
      <c r="K5" s="218"/>
      <c r="L5" s="218"/>
      <c r="M5" s="218"/>
      <c r="N5" s="218"/>
    </row>
    <row r="6" spans="1:14" ht="15" customHeight="1" x14ac:dyDescent="0.3">
      <c r="B6" s="82" t="s">
        <v>32</v>
      </c>
      <c r="C6" s="25" t="s">
        <v>33</v>
      </c>
      <c r="D6" s="77">
        <v>4.8</v>
      </c>
      <c r="E6" s="138" t="s">
        <v>34</v>
      </c>
      <c r="F6" s="213" t="s">
        <v>35</v>
      </c>
      <c r="G6" s="213"/>
      <c r="H6" s="213"/>
      <c r="I6" s="213"/>
      <c r="J6" s="213"/>
      <c r="K6" s="213"/>
      <c r="L6" s="213"/>
      <c r="M6" s="213"/>
      <c r="N6" s="213"/>
    </row>
    <row r="7" spans="1:14" x14ac:dyDescent="0.3">
      <c r="B7" s="51" t="s">
        <v>36</v>
      </c>
      <c r="C7" s="25" t="s">
        <v>37</v>
      </c>
      <c r="D7" s="70">
        <v>0.35599999999999998</v>
      </c>
      <c r="E7" s="138" t="str">
        <f ca="1">INDIRECT(ADDRESS(HelpSheet!B8,HelpSheet!F26,1,1,"HelpSheet"))</f>
        <v>[EUR/kg]</v>
      </c>
      <c r="F7" s="213"/>
      <c r="G7" s="213"/>
      <c r="H7" s="213"/>
      <c r="I7" s="213"/>
      <c r="J7" s="213"/>
      <c r="K7" s="213"/>
      <c r="L7" s="213"/>
      <c r="M7" s="213"/>
      <c r="N7" s="213"/>
    </row>
    <row r="8" spans="1:14" x14ac:dyDescent="0.3">
      <c r="B8" s="51"/>
      <c r="C8" s="25" t="s">
        <v>38</v>
      </c>
      <c r="D8" s="78">
        <v>0.04</v>
      </c>
      <c r="E8" s="138" t="s">
        <v>39</v>
      </c>
      <c r="F8" s="213"/>
      <c r="G8" s="213"/>
      <c r="H8" s="213"/>
      <c r="I8" s="213"/>
      <c r="J8" s="213"/>
      <c r="K8" s="213"/>
      <c r="L8" s="213"/>
      <c r="M8" s="213"/>
      <c r="N8" s="213"/>
    </row>
    <row r="9" spans="1:14" x14ac:dyDescent="0.3">
      <c r="B9" s="52"/>
      <c r="C9" s="25" t="s">
        <v>40</v>
      </c>
      <c r="D9" s="19">
        <f>D7/D6*1000</f>
        <v>74.166666666666671</v>
      </c>
      <c r="E9" s="138" t="str">
        <f ca="1">INDIRECT(ADDRESS(HelpSheet!B13,HelpSheet!F26,1,1,"HelpSheet"))</f>
        <v>[EUR/MWh]</v>
      </c>
      <c r="F9" s="213"/>
      <c r="G9" s="213"/>
      <c r="H9" s="213"/>
      <c r="I9" s="213"/>
      <c r="J9" s="213"/>
      <c r="K9" s="213"/>
      <c r="L9" s="213"/>
      <c r="M9" s="213"/>
      <c r="N9" s="213"/>
    </row>
    <row r="10" spans="1:14" x14ac:dyDescent="0.3">
      <c r="A10" s="57"/>
      <c r="B10" s="52"/>
      <c r="C10" s="25" t="s">
        <v>41</v>
      </c>
      <c r="D10" s="19">
        <f>HelpSheet!Y40</f>
        <v>110.42704138538997</v>
      </c>
      <c r="E10" s="138" t="str">
        <f ca="1">INDIRECT(ADDRESS(HelpSheet!B13,HelpSheet!F26,1,1,"HelpSheet"))</f>
        <v>[EUR/MWh]</v>
      </c>
      <c r="F10" s="213"/>
      <c r="G10" s="213"/>
      <c r="H10" s="213"/>
      <c r="I10" s="213"/>
      <c r="J10" s="213"/>
      <c r="K10" s="213"/>
      <c r="L10" s="213"/>
      <c r="M10" s="213"/>
      <c r="N10" s="213"/>
    </row>
    <row r="11" spans="1:14" ht="48.75" customHeight="1" x14ac:dyDescent="0.3">
      <c r="B11" s="53"/>
      <c r="C11" s="67" t="s">
        <v>42</v>
      </c>
      <c r="D11" s="133">
        <v>39</v>
      </c>
      <c r="E11" s="138" t="s">
        <v>43</v>
      </c>
      <c r="F11" s="213"/>
      <c r="G11" s="213"/>
      <c r="H11" s="213"/>
      <c r="I11" s="213"/>
      <c r="J11" s="213"/>
      <c r="K11" s="213"/>
      <c r="L11" s="213"/>
      <c r="M11" s="213"/>
      <c r="N11" s="213"/>
    </row>
    <row r="12" spans="1:14" x14ac:dyDescent="0.3">
      <c r="B12" s="65" t="s">
        <v>44</v>
      </c>
      <c r="C12" s="25" t="s">
        <v>45</v>
      </c>
      <c r="D12" s="91"/>
      <c r="E12" s="138" t="s">
        <v>46</v>
      </c>
      <c r="F12" s="213" t="s">
        <v>47</v>
      </c>
      <c r="G12" s="213"/>
      <c r="H12" s="213"/>
      <c r="I12" s="213"/>
      <c r="J12" s="213"/>
      <c r="K12" s="213"/>
      <c r="L12" s="213"/>
      <c r="M12" s="213"/>
      <c r="N12" s="213"/>
    </row>
    <row r="13" spans="1:14" ht="15" customHeight="1" x14ac:dyDescent="0.3">
      <c r="B13" s="51"/>
      <c r="C13" s="25" t="s">
        <v>37</v>
      </c>
      <c r="D13" s="92"/>
      <c r="E13" s="138" t="str">
        <f ca="1">INDIRECT(ADDRESS(HelpSheet!B12,HelpSheet!F26,1,1,"HelpSheet"))</f>
        <v>[EUR/m³]</v>
      </c>
      <c r="F13" s="213"/>
      <c r="G13" s="213"/>
      <c r="H13" s="213"/>
      <c r="I13" s="213"/>
      <c r="J13" s="213"/>
      <c r="K13" s="213"/>
      <c r="L13" s="213"/>
      <c r="M13" s="213"/>
      <c r="N13" s="213"/>
    </row>
    <row r="14" spans="1:14" x14ac:dyDescent="0.3">
      <c r="B14" s="51"/>
      <c r="C14" s="25" t="s">
        <v>38</v>
      </c>
      <c r="D14" s="78">
        <v>0.04</v>
      </c>
      <c r="E14" s="138" t="s">
        <v>39</v>
      </c>
      <c r="F14" s="213"/>
      <c r="G14" s="213"/>
      <c r="H14" s="213"/>
      <c r="I14" s="213"/>
      <c r="J14" s="213"/>
      <c r="K14" s="213"/>
      <c r="L14" s="213"/>
      <c r="M14" s="213"/>
      <c r="N14" s="213"/>
    </row>
    <row r="15" spans="1:14" x14ac:dyDescent="0.3">
      <c r="B15" s="52"/>
      <c r="C15" s="25" t="s">
        <v>48</v>
      </c>
      <c r="D15" s="73">
        <f>0.01*1000</f>
        <v>10</v>
      </c>
      <c r="E15" s="138" t="str">
        <f ca="1">INDIRECT(ADDRESS(HelpSheet!B13,HelpSheet!F26,1,1,"HelpSheet"))</f>
        <v>[EUR/MWh]</v>
      </c>
      <c r="F15" s="213"/>
      <c r="G15" s="213"/>
      <c r="H15" s="213"/>
      <c r="I15" s="213"/>
      <c r="J15" s="213"/>
      <c r="K15" s="213"/>
      <c r="L15" s="213"/>
      <c r="M15" s="213"/>
      <c r="N15" s="213"/>
    </row>
    <row r="16" spans="1:14" ht="15" customHeight="1" x14ac:dyDescent="0.3">
      <c r="A16" s="57"/>
      <c r="B16" s="52"/>
      <c r="C16" s="25" t="s">
        <v>41</v>
      </c>
      <c r="D16" s="3">
        <f>HelpSheet!Y41</f>
        <v>14.889039287917754</v>
      </c>
      <c r="E16" s="138" t="str">
        <f ca="1">INDIRECT(ADDRESS(HelpSheet!B13,HelpSheet!F26,1,1,"HelpSheet"))</f>
        <v>[EUR/MWh]</v>
      </c>
      <c r="F16" s="213"/>
      <c r="G16" s="213"/>
      <c r="H16" s="213"/>
      <c r="I16" s="213"/>
      <c r="J16" s="213"/>
      <c r="K16" s="213"/>
      <c r="L16" s="213"/>
      <c r="M16" s="213"/>
      <c r="N16" s="213"/>
    </row>
    <row r="17" spans="2:14" x14ac:dyDescent="0.3">
      <c r="B17" s="53"/>
      <c r="C17" t="s">
        <v>42</v>
      </c>
      <c r="D17" s="135">
        <v>22</v>
      </c>
      <c r="E17" s="138" t="s">
        <v>43</v>
      </c>
      <c r="F17" s="213"/>
      <c r="G17" s="213"/>
      <c r="H17" s="213"/>
      <c r="I17" s="213"/>
      <c r="J17" s="213"/>
      <c r="K17" s="213"/>
      <c r="L17" s="213"/>
      <c r="M17" s="213"/>
      <c r="N17" s="213"/>
    </row>
    <row r="18" spans="2:14" ht="15" customHeight="1" x14ac:dyDescent="0.3">
      <c r="B18" s="65" t="s">
        <v>49</v>
      </c>
      <c r="C18" s="25" t="s">
        <v>45</v>
      </c>
      <c r="D18" s="73">
        <v>893</v>
      </c>
      <c r="E18" s="138" t="s">
        <v>50</v>
      </c>
      <c r="F18" s="213" t="s">
        <v>51</v>
      </c>
      <c r="G18" s="213"/>
      <c r="H18" s="213"/>
      <c r="I18" s="213"/>
      <c r="J18" s="213"/>
      <c r="K18" s="213"/>
      <c r="L18" s="213"/>
      <c r="M18" s="213"/>
      <c r="N18" s="213"/>
    </row>
    <row r="19" spans="2:14" x14ac:dyDescent="0.3">
      <c r="B19" s="51"/>
      <c r="C19" s="25" t="s">
        <v>37</v>
      </c>
      <c r="D19" s="70">
        <v>33</v>
      </c>
      <c r="E19" s="138" t="str">
        <f ca="1">INDIRECT(ADDRESS(HelpSheet!B11,HelpSheet!F26,1,1,"HelpSheet"))</f>
        <v>[EUR/m³ (loose)]</v>
      </c>
      <c r="F19" s="213"/>
      <c r="G19" s="213"/>
      <c r="H19" s="213"/>
      <c r="I19" s="213"/>
      <c r="J19" s="213"/>
      <c r="K19" s="213"/>
      <c r="L19" s="213"/>
      <c r="M19" s="213"/>
      <c r="N19" s="213"/>
    </row>
    <row r="20" spans="2:14" ht="15" customHeight="1" x14ac:dyDescent="0.3">
      <c r="B20" s="51"/>
      <c r="C20" s="25" t="s">
        <v>38</v>
      </c>
      <c r="D20" s="78">
        <v>0.04</v>
      </c>
      <c r="E20" s="138" t="s">
        <v>39</v>
      </c>
      <c r="F20" s="213"/>
      <c r="G20" s="213"/>
      <c r="H20" s="213"/>
      <c r="I20" s="213"/>
      <c r="J20" s="213"/>
      <c r="K20" s="213"/>
      <c r="L20" s="213"/>
      <c r="M20" s="213"/>
      <c r="N20" s="213"/>
    </row>
    <row r="21" spans="2:14" ht="15" customHeight="1" x14ac:dyDescent="0.3">
      <c r="B21" s="52"/>
      <c r="C21" s="25" t="s">
        <v>40</v>
      </c>
      <c r="D21" s="19">
        <f>D19/D18*1000</f>
        <v>36.954087346024636</v>
      </c>
      <c r="E21" s="138" t="str">
        <f ca="1">INDIRECT(ADDRESS(HelpSheet!B13,HelpSheet!F26,1,1,"HelpSheet"))</f>
        <v>[EUR/MWh]</v>
      </c>
      <c r="F21" s="213"/>
      <c r="G21" s="213"/>
      <c r="H21" s="213"/>
      <c r="I21" s="213"/>
      <c r="J21" s="213"/>
      <c r="K21" s="213"/>
      <c r="L21" s="213"/>
      <c r="M21" s="213"/>
      <c r="N21" s="213"/>
    </row>
    <row r="22" spans="2:14" x14ac:dyDescent="0.3">
      <c r="B22" s="52"/>
      <c r="C22" s="25" t="s">
        <v>41</v>
      </c>
      <c r="D22" s="19">
        <f>HelpSheet!Y42</f>
        <v>55.021085834410485</v>
      </c>
      <c r="E22" s="138" t="str">
        <f ca="1">INDIRECT(ADDRESS(HelpSheet!B13,HelpSheet!F26,1,1,"HelpSheet"))</f>
        <v>[EUR/MWh]</v>
      </c>
      <c r="F22" s="213"/>
      <c r="G22" s="213"/>
      <c r="H22" s="213"/>
      <c r="I22" s="213"/>
      <c r="J22" s="213"/>
      <c r="K22" s="213"/>
      <c r="L22" s="213"/>
      <c r="M22" s="213"/>
      <c r="N22" s="213"/>
    </row>
    <row r="23" spans="2:14" x14ac:dyDescent="0.3">
      <c r="B23" s="53"/>
      <c r="C23" t="s">
        <v>42</v>
      </c>
      <c r="D23" s="135">
        <v>10</v>
      </c>
      <c r="E23" s="138" t="s">
        <v>43</v>
      </c>
      <c r="F23" s="213"/>
      <c r="G23" s="213"/>
      <c r="H23" s="213"/>
      <c r="I23" s="213"/>
      <c r="J23" s="213"/>
      <c r="K23" s="213"/>
      <c r="L23" s="213"/>
      <c r="M23" s="213"/>
      <c r="N23" s="213"/>
    </row>
    <row r="24" spans="2:14" x14ac:dyDescent="0.3">
      <c r="B24" s="65" t="s">
        <v>52</v>
      </c>
      <c r="C24" s="25" t="s">
        <v>45</v>
      </c>
      <c r="D24" s="79">
        <v>11.3</v>
      </c>
      <c r="E24" s="138" t="s">
        <v>46</v>
      </c>
      <c r="F24" s="213" t="s">
        <v>53</v>
      </c>
      <c r="G24" s="213"/>
      <c r="H24" s="213"/>
      <c r="I24" s="213"/>
      <c r="J24" s="213"/>
      <c r="K24" s="213"/>
      <c r="L24" s="213"/>
      <c r="M24" s="213"/>
      <c r="N24" s="213"/>
    </row>
    <row r="25" spans="2:14" x14ac:dyDescent="0.3">
      <c r="B25" s="51"/>
      <c r="C25" s="25" t="s">
        <v>37</v>
      </c>
      <c r="D25" s="70">
        <v>1.5</v>
      </c>
      <c r="E25" s="138" t="str">
        <f ca="1">INDIRECT(ADDRESS(HelpSheet!B6,HelpSheet!F26,1,1,"HelpSheet"))</f>
        <v>[EUR/m³]</v>
      </c>
      <c r="F25" s="213"/>
      <c r="G25" s="213"/>
      <c r="H25" s="213"/>
      <c r="I25" s="213"/>
      <c r="J25" s="213"/>
      <c r="K25" s="213"/>
      <c r="L25" s="213"/>
      <c r="M25" s="213"/>
      <c r="N25" s="213"/>
    </row>
    <row r="26" spans="2:14" ht="15" customHeight="1" x14ac:dyDescent="0.3">
      <c r="B26" s="51"/>
      <c r="C26" s="25" t="s">
        <v>38</v>
      </c>
      <c r="D26" s="78">
        <v>0.04</v>
      </c>
      <c r="E26" s="138" t="s">
        <v>39</v>
      </c>
      <c r="F26" s="213"/>
      <c r="G26" s="213"/>
      <c r="H26" s="213"/>
      <c r="I26" s="213"/>
      <c r="J26" s="213"/>
      <c r="K26" s="213"/>
      <c r="L26" s="213"/>
      <c r="M26" s="213"/>
      <c r="N26" s="213"/>
    </row>
    <row r="27" spans="2:14" ht="17.25" customHeight="1" x14ac:dyDescent="0.3">
      <c r="B27" s="52"/>
      <c r="C27" s="25" t="s">
        <v>40</v>
      </c>
      <c r="D27" s="19">
        <f>D25/D24*1000</f>
        <v>132.74336283185841</v>
      </c>
      <c r="E27" s="138" t="str">
        <f ca="1">INDIRECT(ADDRESS(HelpSheet!B13,HelpSheet!F26,1,1,"HelpSheet"))</f>
        <v>[EUR/MWh]</v>
      </c>
      <c r="F27" s="213"/>
      <c r="G27" s="213"/>
      <c r="H27" s="213"/>
      <c r="I27" s="213"/>
      <c r="J27" s="213"/>
      <c r="K27" s="213"/>
      <c r="L27" s="213"/>
      <c r="M27" s="213"/>
      <c r="N27" s="213"/>
    </row>
    <row r="28" spans="2:14" x14ac:dyDescent="0.3">
      <c r="B28" s="52"/>
      <c r="C28" s="25" t="s">
        <v>41</v>
      </c>
      <c r="D28" s="19">
        <f>HelpSheet!Y43</f>
        <v>197.64211444138604</v>
      </c>
      <c r="E28" s="138" t="str">
        <f ca="1">INDIRECT(ADDRESS(HelpSheet!B13,HelpSheet!F26,1,1,"HelpSheet"))</f>
        <v>[EUR/MWh]</v>
      </c>
      <c r="F28" s="213"/>
      <c r="G28" s="213"/>
      <c r="H28" s="213"/>
      <c r="I28" s="213"/>
      <c r="J28" s="213"/>
      <c r="K28" s="213"/>
      <c r="L28" s="213"/>
      <c r="M28" s="213"/>
      <c r="N28" s="213"/>
    </row>
    <row r="29" spans="2:14" x14ac:dyDescent="0.3">
      <c r="B29" s="53"/>
      <c r="C29" t="s">
        <v>42</v>
      </c>
      <c r="D29" s="135">
        <v>247</v>
      </c>
      <c r="E29" s="138" t="s">
        <v>43</v>
      </c>
      <c r="F29" s="213"/>
      <c r="G29" s="213"/>
      <c r="H29" s="213"/>
      <c r="I29" s="213"/>
      <c r="J29" s="213"/>
      <c r="K29" s="213"/>
      <c r="L29" s="213"/>
      <c r="M29" s="213"/>
      <c r="N29" s="213"/>
    </row>
    <row r="30" spans="2:14" ht="15" customHeight="1" x14ac:dyDescent="0.3">
      <c r="B30" s="65" t="s">
        <v>54</v>
      </c>
      <c r="C30" s="25" t="s">
        <v>45</v>
      </c>
      <c r="D30" s="70">
        <v>10</v>
      </c>
      <c r="E30" s="138" t="s">
        <v>55</v>
      </c>
      <c r="F30" s="213" t="s">
        <v>56</v>
      </c>
      <c r="G30" s="213"/>
      <c r="H30" s="213"/>
      <c r="I30" s="213"/>
      <c r="J30" s="213"/>
      <c r="K30" s="213"/>
      <c r="L30" s="213"/>
      <c r="M30" s="213"/>
      <c r="N30" s="213"/>
    </row>
    <row r="31" spans="2:14" ht="15" customHeight="1" x14ac:dyDescent="0.3">
      <c r="B31" s="51" t="s">
        <v>57</v>
      </c>
      <c r="C31" s="25" t="s">
        <v>37</v>
      </c>
      <c r="D31" s="77">
        <v>1</v>
      </c>
      <c r="E31" s="138" t="str">
        <f ca="1">INDIRECT(ADDRESS(HelpSheet!B7,HelpSheet!F26,1,1,"HelpSheet"))</f>
        <v>[EUR/l]</v>
      </c>
      <c r="F31" s="213"/>
      <c r="G31" s="213"/>
      <c r="H31" s="213"/>
      <c r="I31" s="213"/>
      <c r="J31" s="213"/>
      <c r="K31" s="213"/>
      <c r="L31" s="213"/>
      <c r="M31" s="213"/>
      <c r="N31" s="213"/>
    </row>
    <row r="32" spans="2:14" x14ac:dyDescent="0.3">
      <c r="B32" s="51"/>
      <c r="C32" s="25" t="s">
        <v>38</v>
      </c>
      <c r="D32" s="78">
        <v>0.04</v>
      </c>
      <c r="E32" s="138" t="s">
        <v>39</v>
      </c>
      <c r="F32" s="213"/>
      <c r="G32" s="213"/>
      <c r="H32" s="213"/>
      <c r="I32" s="213"/>
      <c r="J32" s="213"/>
      <c r="K32" s="213"/>
      <c r="L32" s="213"/>
      <c r="M32" s="213"/>
      <c r="N32" s="213"/>
    </row>
    <row r="33" spans="2:14" x14ac:dyDescent="0.3">
      <c r="B33" s="52"/>
      <c r="C33" s="25" t="s">
        <v>48</v>
      </c>
      <c r="D33" s="19">
        <f>D31/D30*1000</f>
        <v>100</v>
      </c>
      <c r="E33" s="138" t="str">
        <f ca="1">INDIRECT(ADDRESS(HelpSheet!B13,HelpSheet!F26,1,1,"HelpSheet"))</f>
        <v>[EUR/MWh]</v>
      </c>
      <c r="F33" s="213"/>
      <c r="G33" s="213"/>
      <c r="H33" s="213"/>
      <c r="I33" s="213"/>
      <c r="J33" s="213"/>
      <c r="K33" s="213"/>
      <c r="L33" s="213"/>
      <c r="M33" s="213"/>
      <c r="N33" s="213"/>
    </row>
    <row r="34" spans="2:14" ht="15" customHeight="1" x14ac:dyDescent="0.3">
      <c r="B34" s="52"/>
      <c r="C34" s="25" t="s">
        <v>41</v>
      </c>
      <c r="D34" s="19">
        <f>HelpSheet!Y44</f>
        <v>148.89039287917745</v>
      </c>
      <c r="E34" s="138" t="str">
        <f ca="1">INDIRECT(ADDRESS(HelpSheet!B13,HelpSheet!F26,1,1,"HelpSheet"))</f>
        <v>[EUR/MWh]</v>
      </c>
      <c r="F34" s="213"/>
      <c r="G34" s="213"/>
      <c r="H34" s="213"/>
      <c r="I34" s="213"/>
      <c r="J34" s="213"/>
      <c r="K34" s="213"/>
      <c r="L34" s="213"/>
      <c r="M34" s="213"/>
      <c r="N34" s="213"/>
    </row>
    <row r="35" spans="2:14" x14ac:dyDescent="0.3">
      <c r="B35" s="53"/>
      <c r="C35" t="s">
        <v>42</v>
      </c>
      <c r="D35" s="135">
        <v>310</v>
      </c>
      <c r="E35" s="138" t="s">
        <v>43</v>
      </c>
      <c r="F35" s="213"/>
      <c r="G35" s="213"/>
      <c r="H35" s="213"/>
      <c r="I35" s="213"/>
      <c r="J35" s="213"/>
      <c r="K35" s="213"/>
      <c r="L35" s="213"/>
      <c r="M35" s="213"/>
      <c r="N35" s="213"/>
    </row>
    <row r="36" spans="2:14" x14ac:dyDescent="0.3">
      <c r="B36" s="65" t="s">
        <v>58</v>
      </c>
      <c r="C36" s="25" t="s">
        <v>45</v>
      </c>
      <c r="D36" s="70">
        <v>8</v>
      </c>
      <c r="E36" s="138" t="s">
        <v>34</v>
      </c>
      <c r="F36" s="213" t="s">
        <v>59</v>
      </c>
      <c r="G36" s="213"/>
      <c r="H36" s="213"/>
      <c r="I36" s="213"/>
      <c r="J36" s="213"/>
      <c r="K36" s="213"/>
      <c r="L36" s="213"/>
      <c r="M36" s="213"/>
      <c r="N36" s="213"/>
    </row>
    <row r="37" spans="2:14" x14ac:dyDescent="0.3">
      <c r="B37" s="51"/>
      <c r="C37" s="25" t="s">
        <v>37</v>
      </c>
      <c r="D37" s="70">
        <v>0.55000000000000004</v>
      </c>
      <c r="E37" s="138" t="str">
        <f ca="1">INDIRECT(ADDRESS(HelpSheet!B10,HelpSheet!F26,1,1,"HelpSheet"))</f>
        <v>[EUR/kg]</v>
      </c>
      <c r="F37" s="213"/>
      <c r="G37" s="213"/>
      <c r="H37" s="213"/>
      <c r="I37" s="213"/>
      <c r="J37" s="213"/>
      <c r="K37" s="213"/>
      <c r="L37" s="213"/>
      <c r="M37" s="213"/>
      <c r="N37" s="213"/>
    </row>
    <row r="38" spans="2:14" x14ac:dyDescent="0.3">
      <c r="B38" s="51"/>
      <c r="C38" s="25" t="s">
        <v>38</v>
      </c>
      <c r="D38" s="78">
        <v>0.04</v>
      </c>
      <c r="E38" s="138" t="s">
        <v>39</v>
      </c>
      <c r="F38" s="213"/>
      <c r="G38" s="213"/>
      <c r="H38" s="213"/>
      <c r="I38" s="213"/>
      <c r="J38" s="213"/>
      <c r="K38" s="213"/>
      <c r="L38" s="213"/>
      <c r="M38" s="213"/>
      <c r="N38" s="213"/>
    </row>
    <row r="39" spans="2:14" x14ac:dyDescent="0.3">
      <c r="B39" s="52"/>
      <c r="C39" s="25" t="s">
        <v>48</v>
      </c>
      <c r="D39" s="19">
        <f>D37/D36*1000</f>
        <v>68.75</v>
      </c>
      <c r="E39" s="138" t="str">
        <f ca="1">INDIRECT(ADDRESS(HelpSheet!B13,HelpSheet!F26,1,1,"HelpSheet"))</f>
        <v>[EUR/MWh]</v>
      </c>
      <c r="F39" s="213"/>
      <c r="G39" s="213"/>
      <c r="H39" s="213"/>
      <c r="I39" s="213"/>
      <c r="J39" s="213"/>
      <c r="K39" s="213"/>
      <c r="L39" s="213"/>
      <c r="M39" s="213"/>
      <c r="N39" s="213"/>
    </row>
    <row r="40" spans="2:14" x14ac:dyDescent="0.3">
      <c r="B40" s="52"/>
      <c r="C40" s="25" t="s">
        <v>41</v>
      </c>
      <c r="D40" s="19">
        <f>HelpSheet!Y45</f>
        <v>102.3621451044345</v>
      </c>
      <c r="E40" s="138" t="str">
        <f ca="1">INDIRECT(ADDRESS(HelpSheet!B13,HelpSheet!F26,1,1,"HelpSheet"))</f>
        <v>[EUR/MWh]</v>
      </c>
      <c r="F40" s="213"/>
      <c r="G40" s="213"/>
      <c r="H40" s="213"/>
      <c r="I40" s="213"/>
      <c r="J40" s="213"/>
      <c r="K40" s="213"/>
      <c r="L40" s="213"/>
      <c r="M40" s="213"/>
      <c r="N40" s="213"/>
    </row>
    <row r="41" spans="2:14" ht="15" customHeight="1" x14ac:dyDescent="0.3">
      <c r="B41" s="53"/>
      <c r="C41" t="s">
        <v>42</v>
      </c>
      <c r="D41" s="135">
        <v>375</v>
      </c>
      <c r="E41" s="138" t="s">
        <v>43</v>
      </c>
      <c r="F41" s="213"/>
      <c r="G41" s="213"/>
      <c r="H41" s="213"/>
      <c r="I41" s="213"/>
      <c r="J41" s="213"/>
      <c r="K41" s="213"/>
      <c r="L41" s="213"/>
      <c r="M41" s="213"/>
      <c r="N41" s="213"/>
    </row>
    <row r="42" spans="2:14" ht="18" customHeight="1" x14ac:dyDescent="0.3">
      <c r="B42" s="65" t="s">
        <v>60</v>
      </c>
      <c r="C42" s="25" t="s">
        <v>45</v>
      </c>
      <c r="D42" s="44">
        <v>1</v>
      </c>
      <c r="E42" s="138" t="s">
        <v>61</v>
      </c>
      <c r="F42" s="213" t="s">
        <v>62</v>
      </c>
      <c r="G42" s="213"/>
      <c r="H42" s="213"/>
      <c r="I42" s="213"/>
      <c r="J42" s="213"/>
      <c r="K42" s="213"/>
      <c r="L42" s="213"/>
      <c r="M42" s="213"/>
      <c r="N42" s="213"/>
    </row>
    <row r="43" spans="2:14" x14ac:dyDescent="0.3">
      <c r="B43" s="51" t="s">
        <v>63</v>
      </c>
      <c r="C43" s="25" t="s">
        <v>37</v>
      </c>
      <c r="D43" s="135">
        <v>268</v>
      </c>
      <c r="E43" s="138" t="str">
        <f ca="1">INDIRECT(ADDRESS(HelpSheet!B9,HelpSheet!F26,1,1,"HelpSheet"))</f>
        <v>[EUR/MWhel]</v>
      </c>
      <c r="F43" s="213"/>
      <c r="G43" s="213"/>
      <c r="H43" s="213"/>
      <c r="I43" s="213"/>
      <c r="J43" s="213"/>
      <c r="K43" s="213"/>
      <c r="L43" s="213"/>
      <c r="M43" s="213"/>
      <c r="N43" s="213"/>
    </row>
    <row r="44" spans="2:14" x14ac:dyDescent="0.3">
      <c r="B44" s="51"/>
      <c r="C44" s="25" t="s">
        <v>38</v>
      </c>
      <c r="D44" s="78">
        <v>0.04</v>
      </c>
      <c r="E44" s="138" t="s">
        <v>39</v>
      </c>
      <c r="F44" s="213"/>
      <c r="G44" s="213"/>
      <c r="H44" s="213"/>
      <c r="I44" s="213"/>
      <c r="J44" s="213"/>
      <c r="K44" s="213"/>
      <c r="L44" s="213"/>
      <c r="M44" s="213"/>
      <c r="N44" s="213"/>
    </row>
    <row r="45" spans="2:14" x14ac:dyDescent="0.3">
      <c r="B45" s="52"/>
      <c r="C45" s="25" t="s">
        <v>48</v>
      </c>
      <c r="D45" s="19">
        <f>D43/D42</f>
        <v>268</v>
      </c>
      <c r="E45" s="138" t="str">
        <f ca="1">INDIRECT(ADDRESS(HelpSheet!B13,HelpSheet!F26,1,1,"HelpSheet"))</f>
        <v>[EUR/MWh]</v>
      </c>
      <c r="F45" s="213"/>
      <c r="G45" s="213"/>
      <c r="H45" s="213"/>
      <c r="I45" s="213"/>
      <c r="J45" s="213"/>
      <c r="K45" s="213"/>
      <c r="L45" s="213"/>
      <c r="M45" s="213"/>
      <c r="N45" s="213"/>
    </row>
    <row r="46" spans="2:14" x14ac:dyDescent="0.3">
      <c r="B46" s="52"/>
      <c r="C46" s="25" t="s">
        <v>41</v>
      </c>
      <c r="D46" s="19">
        <f>HelpSheet!Y46</f>
        <v>399.02625291619563</v>
      </c>
      <c r="E46" s="138" t="str">
        <f ca="1">INDIRECT(ADDRESS(HelpSheet!B13,HelpSheet!F26,1,1,"HelpSheet"))</f>
        <v>[EUR/MWh]</v>
      </c>
      <c r="F46" s="213"/>
      <c r="G46" s="213"/>
      <c r="H46" s="213"/>
      <c r="I46" s="213"/>
      <c r="J46" s="213"/>
      <c r="K46" s="213"/>
      <c r="L46" s="213"/>
      <c r="M46" s="213"/>
      <c r="N46" s="213"/>
    </row>
    <row r="47" spans="2:14" ht="15" thickBot="1" x14ac:dyDescent="0.35">
      <c r="B47" s="54"/>
      <c r="C47" s="68" t="s">
        <v>64</v>
      </c>
      <c r="D47" s="137">
        <v>74</v>
      </c>
      <c r="E47" s="139" t="s">
        <v>43</v>
      </c>
      <c r="F47" s="213"/>
      <c r="G47" s="213"/>
      <c r="H47" s="213"/>
      <c r="I47" s="213"/>
      <c r="J47" s="213"/>
      <c r="K47" s="213"/>
      <c r="L47" s="213"/>
      <c r="M47" s="213"/>
      <c r="N47" s="213"/>
    </row>
    <row r="48" spans="2:14" ht="12.6" customHeight="1" x14ac:dyDescent="0.3">
      <c r="C48" s="67"/>
      <c r="D48" s="86"/>
      <c r="E48" s="85"/>
      <c r="F48" s="84"/>
      <c r="G48" s="84"/>
      <c r="H48" s="84"/>
      <c r="I48" s="84"/>
      <c r="J48" s="84"/>
      <c r="K48" s="84"/>
      <c r="L48" s="84"/>
      <c r="M48" s="84"/>
      <c r="N48" s="84"/>
    </row>
    <row r="49" spans="1:14" x14ac:dyDescent="0.3">
      <c r="E49" s="48"/>
      <c r="F49" s="48"/>
      <c r="G49" s="48"/>
      <c r="H49" s="48"/>
      <c r="I49" s="48"/>
      <c r="J49" s="48"/>
      <c r="K49" s="48"/>
      <c r="L49" s="48"/>
      <c r="M49" s="48"/>
      <c r="N49" s="48"/>
    </row>
    <row r="50" spans="1:14" x14ac:dyDescent="0.3">
      <c r="A50" s="46" t="s">
        <v>65</v>
      </c>
      <c r="B50" s="47" t="s">
        <v>66</v>
      </c>
      <c r="C50" s="47"/>
      <c r="D50" s="47"/>
      <c r="E50" s="47"/>
      <c r="F50" s="47"/>
      <c r="G50" s="47"/>
      <c r="H50" s="47"/>
      <c r="I50" s="47"/>
      <c r="J50" s="47"/>
      <c r="K50" s="47"/>
      <c r="L50" s="47"/>
      <c r="M50" s="47"/>
      <c r="N50" s="48"/>
    </row>
    <row r="51" spans="1:14" x14ac:dyDescent="0.3">
      <c r="A51" s="80" t="s">
        <v>67</v>
      </c>
      <c r="B51" s="81" t="s">
        <v>68</v>
      </c>
      <c r="N51" s="48"/>
    </row>
    <row r="52" spans="1:14" x14ac:dyDescent="0.3">
      <c r="A52" s="80" t="s">
        <v>69</v>
      </c>
      <c r="B52" s="81" t="s">
        <v>70</v>
      </c>
      <c r="N52" s="48"/>
    </row>
    <row r="53" spans="1:14" x14ac:dyDescent="0.3">
      <c r="A53" s="80" t="s">
        <v>71</v>
      </c>
      <c r="B53" s="134" t="s">
        <v>72</v>
      </c>
      <c r="N53" s="48"/>
    </row>
    <row r="54" spans="1:14" x14ac:dyDescent="0.3">
      <c r="A54" s="80" t="s">
        <v>73</v>
      </c>
      <c r="B54" s="81" t="s">
        <v>74</v>
      </c>
      <c r="M54" s="48"/>
      <c r="N54" s="48"/>
    </row>
    <row r="55" spans="1:14" x14ac:dyDescent="0.3">
      <c r="A55" s="80" t="s">
        <v>75</v>
      </c>
      <c r="B55" s="81" t="s">
        <v>76</v>
      </c>
    </row>
    <row r="56" spans="1:14" x14ac:dyDescent="0.3">
      <c r="A56" s="80" t="s">
        <v>77</v>
      </c>
      <c r="B56" s="81" t="s">
        <v>78</v>
      </c>
      <c r="M56" s="56"/>
      <c r="N56" s="56"/>
    </row>
    <row r="57" spans="1:14" x14ac:dyDescent="0.3">
      <c r="A57" s="80" t="s">
        <v>79</v>
      </c>
      <c r="B57" s="81" t="s">
        <v>80</v>
      </c>
      <c r="M57" s="56"/>
      <c r="N57" s="56"/>
    </row>
    <row r="58" spans="1:14" x14ac:dyDescent="0.3">
      <c r="A58" s="80" t="s">
        <v>81</v>
      </c>
      <c r="B58" s="81" t="s">
        <v>82</v>
      </c>
      <c r="M58" s="56"/>
      <c r="N58" s="56"/>
    </row>
    <row r="59" spans="1:14" x14ac:dyDescent="0.3">
      <c r="A59" s="80" t="s">
        <v>83</v>
      </c>
      <c r="B59" s="81" t="s">
        <v>84</v>
      </c>
    </row>
    <row r="60" spans="1:14" x14ac:dyDescent="0.3">
      <c r="A60" s="80" t="s">
        <v>85</v>
      </c>
      <c r="B60" s="81" t="s">
        <v>86</v>
      </c>
    </row>
    <row r="61" spans="1:14" x14ac:dyDescent="0.3">
      <c r="A61" s="80" t="s">
        <v>87</v>
      </c>
      <c r="B61" s="81" t="s">
        <v>88</v>
      </c>
    </row>
    <row r="62" spans="1:14" x14ac:dyDescent="0.3">
      <c r="A62" s="80" t="s">
        <v>89</v>
      </c>
      <c r="B62" s="81" t="s">
        <v>90</v>
      </c>
    </row>
    <row r="63" spans="1:14" x14ac:dyDescent="0.3">
      <c r="A63" s="80" t="s">
        <v>91</v>
      </c>
      <c r="B63" s="134" t="s">
        <v>92</v>
      </c>
    </row>
    <row r="64" spans="1:14" x14ac:dyDescent="0.3">
      <c r="A64" s="80" t="s">
        <v>93</v>
      </c>
      <c r="B64" s="134" t="s">
        <v>94</v>
      </c>
    </row>
    <row r="65" spans="1:2" x14ac:dyDescent="0.3">
      <c r="A65" s="80" t="s">
        <v>95</v>
      </c>
      <c r="B65" s="81" t="s">
        <v>96</v>
      </c>
    </row>
    <row r="66" spans="1:2" x14ac:dyDescent="0.3">
      <c r="A66" s="80" t="s">
        <v>97</v>
      </c>
      <c r="B66" s="81" t="s">
        <v>98</v>
      </c>
    </row>
    <row r="67" spans="1:2" x14ac:dyDescent="0.3">
      <c r="A67" s="80" t="s">
        <v>99</v>
      </c>
      <c r="B67" s="81" t="s">
        <v>100</v>
      </c>
    </row>
    <row r="68" spans="1:2" x14ac:dyDescent="0.3">
      <c r="A68" s="74"/>
    </row>
    <row r="69" spans="1:2" x14ac:dyDescent="0.3">
      <c r="A69" s="74"/>
      <c r="B69" s="74"/>
    </row>
    <row r="70" spans="1:2" x14ac:dyDescent="0.3">
      <c r="A70" s="74"/>
      <c r="B70" s="74"/>
    </row>
    <row r="71" spans="1:2" x14ac:dyDescent="0.3">
      <c r="A71" s="74"/>
      <c r="B71" s="74"/>
    </row>
    <row r="72" spans="1:2" x14ac:dyDescent="0.3">
      <c r="A72" s="74"/>
      <c r="B72" s="74"/>
    </row>
    <row r="73" spans="1:2" x14ac:dyDescent="0.3">
      <c r="A73" s="74"/>
      <c r="B73" s="74"/>
    </row>
    <row r="74" spans="1:2" x14ac:dyDescent="0.3">
      <c r="A74" s="74"/>
      <c r="B74" s="74"/>
    </row>
    <row r="75" spans="1:2" x14ac:dyDescent="0.3">
      <c r="A75" s="74"/>
      <c r="B75" s="74"/>
    </row>
    <row r="76" spans="1:2" x14ac:dyDescent="0.3">
      <c r="A76" s="74"/>
      <c r="B76" s="74"/>
    </row>
    <row r="77" spans="1:2" x14ac:dyDescent="0.3">
      <c r="A77" s="74"/>
      <c r="B77" s="74"/>
    </row>
    <row r="78" spans="1:2" x14ac:dyDescent="0.3">
      <c r="A78" s="74"/>
      <c r="B78" s="81"/>
    </row>
    <row r="79" spans="1:2" x14ac:dyDescent="0.3">
      <c r="A79" s="74"/>
      <c r="B79" s="81"/>
    </row>
    <row r="80" spans="1:2" x14ac:dyDescent="0.3">
      <c r="A80" s="74"/>
      <c r="B80" s="81"/>
    </row>
    <row r="81" spans="1:12" x14ac:dyDescent="0.3">
      <c r="A81" s="74"/>
      <c r="B81" s="74"/>
    </row>
    <row r="82" spans="1:12" x14ac:dyDescent="0.3">
      <c r="A82" s="74"/>
      <c r="B82" s="74"/>
    </row>
    <row r="83" spans="1:12" x14ac:dyDescent="0.3">
      <c r="A83" s="74"/>
      <c r="B83" s="74"/>
    </row>
    <row r="84" spans="1:12" x14ac:dyDescent="0.3">
      <c r="A84" s="74"/>
      <c r="B84" s="74"/>
      <c r="H84" s="8"/>
    </row>
    <row r="85" spans="1:12" x14ac:dyDescent="0.3">
      <c r="A85" s="74"/>
      <c r="B85" s="74"/>
      <c r="H85" s="8"/>
    </row>
    <row r="86" spans="1:12" x14ac:dyDescent="0.3">
      <c r="A86" s="74"/>
      <c r="B86" s="81"/>
      <c r="H86" s="8"/>
    </row>
    <row r="87" spans="1:12" x14ac:dyDescent="0.3">
      <c r="A87" s="74"/>
      <c r="B87" s="81"/>
      <c r="H87" s="8"/>
      <c r="J87" s="37"/>
    </row>
    <row r="88" spans="1:12" x14ac:dyDescent="0.3">
      <c r="A88" s="74"/>
      <c r="B88" s="81"/>
      <c r="H88" s="8"/>
    </row>
    <row r="89" spans="1:12" x14ac:dyDescent="0.3">
      <c r="A89" s="74"/>
      <c r="B89" s="81"/>
      <c r="H89" s="8"/>
    </row>
    <row r="90" spans="1:12" x14ac:dyDescent="0.3">
      <c r="A90" s="74"/>
      <c r="B90" s="81"/>
      <c r="H90" s="8"/>
    </row>
    <row r="91" spans="1:12" x14ac:dyDescent="0.3">
      <c r="A91" s="74"/>
      <c r="B91" s="74"/>
      <c r="H91" s="8"/>
    </row>
    <row r="92" spans="1:12" x14ac:dyDescent="0.3">
      <c r="A92" s="74"/>
      <c r="B92" s="74"/>
    </row>
    <row r="93" spans="1:12" x14ac:dyDescent="0.3">
      <c r="A93" s="74"/>
      <c r="B93" s="74"/>
    </row>
    <row r="94" spans="1:12" x14ac:dyDescent="0.3">
      <c r="A94" s="74"/>
      <c r="B94" s="74"/>
    </row>
    <row r="95" spans="1:12" x14ac:dyDescent="0.3">
      <c r="A95" s="74"/>
      <c r="B95" s="74"/>
      <c r="K95" s="57"/>
      <c r="L95" s="57"/>
    </row>
    <row r="96" spans="1:12" x14ac:dyDescent="0.3">
      <c r="A96" s="74"/>
      <c r="B96" s="74"/>
    </row>
    <row r="97" spans="1:9" x14ac:dyDescent="0.3">
      <c r="A97" s="74"/>
      <c r="B97" s="74"/>
    </row>
    <row r="100" spans="1:9" x14ac:dyDescent="0.3">
      <c r="I100" s="11"/>
    </row>
    <row r="101" spans="1:9" x14ac:dyDescent="0.3">
      <c r="I101" s="11"/>
    </row>
    <row r="102" spans="1:9" x14ac:dyDescent="0.3">
      <c r="H102" s="37"/>
      <c r="I102" s="57"/>
    </row>
    <row r="103" spans="1:9" x14ac:dyDescent="0.3">
      <c r="F103" s="11"/>
      <c r="I103" s="58"/>
    </row>
    <row r="106" spans="1:9" x14ac:dyDescent="0.3">
      <c r="I106" s="57"/>
    </row>
    <row r="107" spans="1:9" x14ac:dyDescent="0.3">
      <c r="E107" s="59"/>
      <c r="F107" s="57"/>
      <c r="I107" s="57"/>
    </row>
    <row r="108" spans="1:9" x14ac:dyDescent="0.3">
      <c r="I108" s="58"/>
    </row>
  </sheetData>
  <sheetProtection sheet="1" objects="1" scenarios="1"/>
  <mergeCells count="9">
    <mergeCell ref="F30:N35"/>
    <mergeCell ref="F36:N41"/>
    <mergeCell ref="F42:N47"/>
    <mergeCell ref="B4:E4"/>
    <mergeCell ref="F6:N11"/>
    <mergeCell ref="F12:N17"/>
    <mergeCell ref="F18:N23"/>
    <mergeCell ref="F24:N29"/>
    <mergeCell ref="F5:N5"/>
  </mergeCells>
  <hyperlinks>
    <hyperlink ref="B52" r:id="rId1" display="https://www.propellets.at/aktuelle-pelletpreise" xr:uid="{6C492997-589D-4145-B039-41E0D053F6A2}"/>
    <hyperlink ref="B54" r:id="rId2" display="Statistik Austria: Land- und Forstwirtschaftliche Erzeugerpreise" xr:uid="{F1893372-B13E-4474-BDD6-B51468938401}"/>
    <hyperlink ref="B55" r:id="rId3" xr:uid="{27199F4D-FD71-4736-850B-C7DE3D0BCEF7}"/>
    <hyperlink ref="B56" r:id="rId4" display="The engineering ToolBox" xr:uid="{D4878B44-73DA-4ADD-9FEA-4BC918D18589}"/>
    <hyperlink ref="B57" r:id="rId5" display="Brennstoffe im Vergleich" xr:uid="{B9F767CC-C8AD-4435-90EB-453E8AC69A0F}"/>
    <hyperlink ref="B58" r:id="rId6" xr:uid="{8ECC5873-D911-46C2-A384-417C3BEC21DC}"/>
    <hyperlink ref="B61" r:id="rId7" xr:uid="{EA962AB0-288C-4FAC-ADC5-296196B03DB4}"/>
    <hyperlink ref="B62" r:id="rId8" xr:uid="{13E11AC1-1345-4716-83F5-AFD3C175DF44}"/>
    <hyperlink ref="B65" r:id="rId9" xr:uid="{0C721545-C405-478A-A0D8-D3C22425480A}"/>
    <hyperlink ref="B64" r:id="rId10" xr:uid="{E85B9934-EBE1-4C73-8144-6226DC05D65C}"/>
    <hyperlink ref="B63" r:id="rId11" xr:uid="{189FB32E-7573-4AED-B252-027CC8DA4B52}"/>
    <hyperlink ref="B53" r:id="rId12" xr:uid="{1FD8C427-CBC6-487B-85D3-D36D9510B770}"/>
    <hyperlink ref="B60" r:id="rId13" xr:uid="{906D809A-E5A5-4025-88B5-E81306DC91C9}"/>
    <hyperlink ref="B67" r:id="rId14" xr:uid="{5F01530F-5726-4B59-8115-BBFE6C71A4DD}"/>
    <hyperlink ref="B66" r:id="rId15" xr:uid="{22A3677A-A2C8-401A-8C27-D576D1D64E02}"/>
    <hyperlink ref="B51" r:id="rId16" xr:uid="{D191FC28-0D52-4457-A3DD-DC63DF2EBC18}"/>
    <hyperlink ref="B59" r:id="rId17" xr:uid="{792386EB-F5EA-42F1-A99C-ABA2E4BE73DC}"/>
  </hyperlinks>
  <pageMargins left="0.7" right="0.7" top="0.78740157499999996" bottom="0.78740157499999996" header="0.3" footer="0.3"/>
  <pageSetup paperSize="9" orientation="portrait" horizontalDpi="4294967292" verticalDpi="1200" r:id="rId18"/>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HelpSheet!$D$50:$D$53</xm:f>
          </x14:formula1>
          <xm:sqref>H2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6D47D-3C75-4334-9772-807EB29E476E}">
  <sheetPr codeName="Tabelle4">
    <tabColor rgb="FF92D050"/>
  </sheetPr>
  <dimension ref="A1:U147"/>
  <sheetViews>
    <sheetView showGridLines="0" zoomScale="85" zoomScaleNormal="85" workbookViewId="0">
      <selection activeCell="C7" sqref="C7"/>
    </sheetView>
  </sheetViews>
  <sheetFormatPr baseColWidth="10" defaultColWidth="11.44140625" defaultRowHeight="14.4" x14ac:dyDescent="0.3"/>
  <cols>
    <col min="1" max="1" width="47.33203125" bestFit="1" customWidth="1"/>
    <col min="2" max="2" width="17.5546875" style="23" bestFit="1" customWidth="1"/>
    <col min="3" max="4" width="12.88671875" customWidth="1"/>
    <col min="5" max="5" width="18.109375" customWidth="1"/>
    <col min="6" max="6" width="13.5546875" customWidth="1"/>
    <col min="7" max="7" width="14.5546875" customWidth="1"/>
    <col min="8" max="9" width="12.88671875" customWidth="1"/>
    <col min="10" max="10" width="14" customWidth="1"/>
    <col min="11" max="12" width="12.88671875" customWidth="1"/>
    <col min="13" max="13" width="5.44140625" bestFit="1" customWidth="1"/>
    <col min="16" max="16" width="10" customWidth="1"/>
    <col min="17" max="17" width="7.44140625" customWidth="1"/>
    <col min="18" max="18" width="14.5546875" customWidth="1"/>
    <col min="19" max="19" width="13.5546875" customWidth="1"/>
    <col min="20" max="20" width="38.44140625" customWidth="1"/>
  </cols>
  <sheetData>
    <row r="1" spans="1:20" x14ac:dyDescent="0.3">
      <c r="A1" s="244" t="s">
        <v>101</v>
      </c>
      <c r="B1" s="244"/>
      <c r="C1" s="244"/>
      <c r="D1" s="244"/>
      <c r="E1" s="244"/>
      <c r="F1" s="1"/>
    </row>
    <row r="2" spans="1:20" s="83" customFormat="1" x14ac:dyDescent="0.3">
      <c r="A2" s="244" t="s">
        <v>19</v>
      </c>
      <c r="B2" s="244"/>
      <c r="C2" s="244"/>
      <c r="D2" s="244"/>
      <c r="E2" s="244"/>
      <c r="F2" s="87"/>
      <c r="H2"/>
    </row>
    <row r="3" spans="1:20" x14ac:dyDescent="0.3">
      <c r="A3" s="222" t="s">
        <v>102</v>
      </c>
      <c r="B3" s="227" t="s">
        <v>24</v>
      </c>
      <c r="C3" s="226" t="s">
        <v>103</v>
      </c>
      <c r="D3" s="226"/>
      <c r="E3" s="226"/>
      <c r="F3" s="226"/>
      <c r="G3" s="226"/>
      <c r="H3" s="226"/>
      <c r="I3" s="226"/>
      <c r="J3" s="226"/>
      <c r="K3" s="226"/>
      <c r="L3" s="226"/>
      <c r="M3" s="248" t="s">
        <v>31</v>
      </c>
      <c r="N3" s="249"/>
      <c r="O3" s="249"/>
      <c r="P3" s="249"/>
      <c r="Q3" s="249"/>
      <c r="R3" s="249"/>
      <c r="S3" s="249"/>
      <c r="T3" s="249"/>
    </row>
    <row r="4" spans="1:20" x14ac:dyDescent="0.3">
      <c r="A4" s="223"/>
      <c r="B4" s="228"/>
      <c r="C4" s="226"/>
      <c r="D4" s="226"/>
      <c r="E4" s="226"/>
      <c r="F4" s="226"/>
      <c r="G4" s="226"/>
      <c r="H4" s="226"/>
      <c r="I4" s="226"/>
      <c r="J4" s="226"/>
      <c r="K4" s="226"/>
      <c r="L4" s="226"/>
      <c r="M4" s="250"/>
      <c r="N4" s="251"/>
      <c r="O4" s="251"/>
      <c r="P4" s="251"/>
      <c r="Q4" s="251"/>
      <c r="R4" s="251"/>
      <c r="S4" s="251"/>
      <c r="T4" s="251"/>
    </row>
    <row r="5" spans="1:20" ht="14.4" customHeight="1" x14ac:dyDescent="0.3">
      <c r="A5" s="220" t="s">
        <v>104</v>
      </c>
      <c r="B5" s="228"/>
      <c r="C5" s="224" t="s">
        <v>105</v>
      </c>
      <c r="D5" s="224" t="s">
        <v>106</v>
      </c>
      <c r="E5" s="224" t="s">
        <v>107</v>
      </c>
      <c r="F5" s="224" t="s">
        <v>108</v>
      </c>
      <c r="G5" s="224" t="s">
        <v>109</v>
      </c>
      <c r="H5" s="230" t="s">
        <v>110</v>
      </c>
      <c r="I5" s="230" t="s">
        <v>111</v>
      </c>
      <c r="J5" s="230" t="s">
        <v>112</v>
      </c>
      <c r="K5" s="230" t="s">
        <v>113</v>
      </c>
      <c r="L5" s="230" t="s">
        <v>114</v>
      </c>
      <c r="M5" s="213" t="s">
        <v>115</v>
      </c>
      <c r="N5" s="213"/>
      <c r="O5" s="213"/>
      <c r="P5" s="213"/>
      <c r="Q5" s="213"/>
      <c r="R5" s="213"/>
      <c r="S5" s="213"/>
      <c r="T5" s="213"/>
    </row>
    <row r="6" spans="1:20" x14ac:dyDescent="0.3">
      <c r="A6" s="221"/>
      <c r="B6" s="229"/>
      <c r="C6" s="225"/>
      <c r="D6" s="225"/>
      <c r="E6" s="225"/>
      <c r="F6" s="225"/>
      <c r="G6" s="225"/>
      <c r="H6" s="231"/>
      <c r="I6" s="231"/>
      <c r="J6" s="231"/>
      <c r="K6" s="231"/>
      <c r="L6" s="231"/>
      <c r="M6" s="213"/>
      <c r="N6" s="213"/>
      <c r="O6" s="213"/>
      <c r="P6" s="213"/>
      <c r="Q6" s="213"/>
      <c r="R6" s="213"/>
      <c r="S6" s="213"/>
      <c r="T6" s="213"/>
    </row>
    <row r="7" spans="1:20" x14ac:dyDescent="0.3">
      <c r="A7" s="2" t="s">
        <v>116</v>
      </c>
      <c r="B7" s="18" t="s">
        <v>117</v>
      </c>
      <c r="C7" s="71">
        <v>27600</v>
      </c>
      <c r="D7" s="71">
        <f>C7</f>
        <v>27600</v>
      </c>
      <c r="E7" s="71">
        <f t="shared" ref="E7:L7" si="0">D7</f>
        <v>27600</v>
      </c>
      <c r="F7" s="71">
        <f t="shared" si="0"/>
        <v>27600</v>
      </c>
      <c r="G7" s="71">
        <f t="shared" si="0"/>
        <v>27600</v>
      </c>
      <c r="H7" s="71">
        <f t="shared" si="0"/>
        <v>27600</v>
      </c>
      <c r="I7" s="71">
        <f t="shared" si="0"/>
        <v>27600</v>
      </c>
      <c r="J7" s="71">
        <f t="shared" si="0"/>
        <v>27600</v>
      </c>
      <c r="K7" s="71">
        <f t="shared" si="0"/>
        <v>27600</v>
      </c>
      <c r="L7" s="71">
        <f t="shared" si="0"/>
        <v>27600</v>
      </c>
      <c r="M7" s="213"/>
      <c r="N7" s="213"/>
      <c r="O7" s="213"/>
      <c r="P7" s="213"/>
      <c r="Q7" s="213"/>
      <c r="R7" s="213"/>
      <c r="S7" s="213"/>
      <c r="T7" s="213"/>
    </row>
    <row r="8" spans="1:20" x14ac:dyDescent="0.3">
      <c r="A8" s="2" t="s">
        <v>118</v>
      </c>
      <c r="B8" s="18" t="s">
        <v>119</v>
      </c>
      <c r="C8" s="71">
        <v>10</v>
      </c>
      <c r="D8" s="71">
        <v>10</v>
      </c>
      <c r="E8" s="71">
        <v>10</v>
      </c>
      <c r="F8" s="71">
        <v>10</v>
      </c>
      <c r="G8" s="71">
        <v>10</v>
      </c>
      <c r="H8" s="71">
        <v>10</v>
      </c>
      <c r="I8" s="71">
        <v>10</v>
      </c>
      <c r="J8" s="71">
        <v>10</v>
      </c>
      <c r="K8" s="71">
        <v>10</v>
      </c>
      <c r="L8" s="71">
        <v>10</v>
      </c>
      <c r="M8" s="213"/>
      <c r="N8" s="213"/>
      <c r="O8" s="213"/>
      <c r="P8" s="213"/>
      <c r="Q8" s="213"/>
      <c r="R8" s="213"/>
      <c r="S8" s="213"/>
      <c r="T8" s="213"/>
    </row>
    <row r="9" spans="1:20" x14ac:dyDescent="0.3">
      <c r="A9" s="2" t="s">
        <v>120</v>
      </c>
      <c r="B9" s="18" t="s">
        <v>121</v>
      </c>
      <c r="C9" s="136">
        <v>20</v>
      </c>
      <c r="D9" s="136">
        <v>20</v>
      </c>
      <c r="E9" s="136">
        <v>30</v>
      </c>
      <c r="F9" s="136">
        <v>35</v>
      </c>
      <c r="G9" s="136">
        <v>40</v>
      </c>
      <c r="H9" s="136">
        <v>40</v>
      </c>
      <c r="I9" s="136">
        <v>40</v>
      </c>
      <c r="J9" s="136">
        <v>40</v>
      </c>
      <c r="K9" s="136">
        <v>40</v>
      </c>
      <c r="L9" s="136">
        <v>40</v>
      </c>
      <c r="M9" s="213"/>
      <c r="N9" s="213"/>
      <c r="O9" s="213"/>
      <c r="P9" s="213"/>
      <c r="Q9" s="213"/>
      <c r="R9" s="213"/>
      <c r="S9" s="213"/>
      <c r="T9" s="213"/>
    </row>
    <row r="10" spans="1:20" x14ac:dyDescent="0.3">
      <c r="A10" s="93" t="s">
        <v>122</v>
      </c>
      <c r="B10" s="111"/>
      <c r="C10" s="114"/>
      <c r="D10" s="114"/>
      <c r="E10" s="114"/>
      <c r="F10" s="114"/>
      <c r="G10" s="114"/>
      <c r="H10" s="114"/>
      <c r="I10" s="114"/>
      <c r="J10" s="114"/>
      <c r="K10" s="114"/>
      <c r="L10" s="114"/>
      <c r="M10" s="219"/>
      <c r="N10" s="219"/>
      <c r="O10" s="219"/>
      <c r="P10" s="219"/>
      <c r="Q10" s="219"/>
      <c r="R10" s="219"/>
      <c r="S10" s="219"/>
      <c r="T10" s="219"/>
    </row>
    <row r="11" spans="1:20" x14ac:dyDescent="0.3">
      <c r="A11" s="6" t="s">
        <v>123</v>
      </c>
      <c r="B11" s="18" t="s">
        <v>28</v>
      </c>
      <c r="C11" s="107"/>
      <c r="D11" s="107"/>
      <c r="E11" s="107"/>
      <c r="F11" s="107"/>
      <c r="G11" s="107"/>
      <c r="H11" s="107"/>
      <c r="I11" s="107"/>
      <c r="J11" s="107"/>
      <c r="K11" s="107"/>
      <c r="L11" s="163"/>
      <c r="M11" s="213" t="s">
        <v>124</v>
      </c>
      <c r="N11" s="213"/>
      <c r="O11" s="213"/>
      <c r="P11" s="213"/>
      <c r="Q11" s="213"/>
      <c r="R11" s="213"/>
      <c r="S11" s="213"/>
      <c r="T11" s="213"/>
    </row>
    <row r="12" spans="1:20" x14ac:dyDescent="0.3">
      <c r="A12" s="6" t="s">
        <v>125</v>
      </c>
      <c r="B12" s="18" t="s">
        <v>28</v>
      </c>
      <c r="C12" s="107">
        <v>0.3</v>
      </c>
      <c r="D12" s="107">
        <v>0.5</v>
      </c>
      <c r="E12" s="107">
        <v>0.8</v>
      </c>
      <c r="F12" s="107">
        <v>1</v>
      </c>
      <c r="G12" s="107"/>
      <c r="H12" s="107">
        <v>0.5</v>
      </c>
      <c r="I12" s="107">
        <v>0.75</v>
      </c>
      <c r="J12" s="107">
        <v>0.75</v>
      </c>
      <c r="K12" s="107">
        <v>0.75</v>
      </c>
      <c r="L12" s="163"/>
      <c r="M12" s="213"/>
      <c r="N12" s="213"/>
      <c r="O12" s="213"/>
      <c r="P12" s="213"/>
      <c r="Q12" s="213"/>
      <c r="R12" s="213"/>
      <c r="S12" s="213"/>
      <c r="T12" s="213"/>
    </row>
    <row r="13" spans="1:20" x14ac:dyDescent="0.3">
      <c r="A13" s="6" t="s">
        <v>126</v>
      </c>
      <c r="B13" s="18" t="s">
        <v>28</v>
      </c>
      <c r="C13" s="107"/>
      <c r="D13" s="107">
        <v>0.5</v>
      </c>
      <c r="E13" s="107"/>
      <c r="F13" s="107"/>
      <c r="G13" s="107"/>
      <c r="H13" s="107"/>
      <c r="I13" s="107"/>
      <c r="J13" s="107">
        <v>0.25</v>
      </c>
      <c r="K13" s="107"/>
      <c r="L13" s="163"/>
      <c r="M13" s="213"/>
      <c r="N13" s="213"/>
      <c r="O13" s="213"/>
      <c r="P13" s="213"/>
      <c r="Q13" s="213"/>
      <c r="R13" s="213"/>
      <c r="S13" s="213"/>
      <c r="T13" s="213"/>
    </row>
    <row r="14" spans="1:20" x14ac:dyDescent="0.3">
      <c r="A14" s="6" t="s">
        <v>127</v>
      </c>
      <c r="B14" s="18" t="s">
        <v>28</v>
      </c>
      <c r="C14" s="107"/>
      <c r="D14" s="107"/>
      <c r="E14" s="107"/>
      <c r="F14" s="107"/>
      <c r="G14" s="107">
        <v>1</v>
      </c>
      <c r="H14" s="107"/>
      <c r="I14" s="107"/>
      <c r="J14" s="107"/>
      <c r="K14" s="107">
        <v>0.25</v>
      </c>
      <c r="L14" s="163">
        <v>0.8</v>
      </c>
      <c r="M14" s="213"/>
      <c r="N14" s="213"/>
      <c r="O14" s="213"/>
      <c r="P14" s="213"/>
      <c r="Q14" s="213"/>
      <c r="R14" s="213"/>
      <c r="S14" s="213"/>
      <c r="T14" s="213"/>
    </row>
    <row r="15" spans="1:20" x14ac:dyDescent="0.3">
      <c r="A15" s="6" t="s">
        <v>128</v>
      </c>
      <c r="B15" s="18" t="s">
        <v>28</v>
      </c>
      <c r="C15" s="107"/>
      <c r="D15" s="107"/>
      <c r="E15" s="107"/>
      <c r="F15" s="107"/>
      <c r="G15" s="107"/>
      <c r="H15" s="107"/>
      <c r="I15" s="107"/>
      <c r="J15" s="107"/>
      <c r="K15" s="107"/>
      <c r="L15" s="163"/>
      <c r="M15" s="213"/>
      <c r="N15" s="213"/>
      <c r="O15" s="213"/>
      <c r="P15" s="213"/>
      <c r="Q15" s="213"/>
      <c r="R15" s="213"/>
      <c r="S15" s="213"/>
      <c r="T15" s="213"/>
    </row>
    <row r="16" spans="1:20" x14ac:dyDescent="0.3">
      <c r="A16" s="6" t="s">
        <v>129</v>
      </c>
      <c r="B16" s="18" t="s">
        <v>28</v>
      </c>
      <c r="C16" s="107"/>
      <c r="D16" s="107"/>
      <c r="E16" s="107">
        <v>0.2</v>
      </c>
      <c r="F16" s="107"/>
      <c r="G16" s="107"/>
      <c r="H16" s="107"/>
      <c r="I16" s="107"/>
      <c r="J16" s="107"/>
      <c r="K16" s="107"/>
      <c r="L16" s="163"/>
      <c r="M16" s="213"/>
      <c r="N16" s="213"/>
      <c r="O16" s="213"/>
      <c r="P16" s="213"/>
      <c r="Q16" s="213"/>
      <c r="R16" s="213"/>
      <c r="S16" s="213"/>
      <c r="T16" s="213"/>
    </row>
    <row r="17" spans="1:20" x14ac:dyDescent="0.3">
      <c r="A17" s="6" t="s">
        <v>130</v>
      </c>
      <c r="B17" s="18" t="s">
        <v>28</v>
      </c>
      <c r="C17" s="107"/>
      <c r="D17" s="107"/>
      <c r="E17" s="107"/>
      <c r="F17" s="107"/>
      <c r="G17" s="107"/>
      <c r="H17" s="107"/>
      <c r="I17" s="107"/>
      <c r="J17" s="107"/>
      <c r="K17" s="107"/>
      <c r="L17" s="163"/>
      <c r="M17" s="213"/>
      <c r="N17" s="213"/>
      <c r="O17" s="213"/>
      <c r="P17" s="213"/>
      <c r="Q17" s="213"/>
      <c r="R17" s="213"/>
      <c r="S17" s="213"/>
      <c r="T17" s="213"/>
    </row>
    <row r="18" spans="1:20" x14ac:dyDescent="0.3">
      <c r="A18" s="6" t="s">
        <v>131</v>
      </c>
      <c r="B18" s="18" t="s">
        <v>28</v>
      </c>
      <c r="C18" s="107">
        <v>0.7</v>
      </c>
      <c r="D18" s="107"/>
      <c r="E18" s="107"/>
      <c r="F18" s="107"/>
      <c r="G18" s="107"/>
      <c r="H18" s="107">
        <v>0.5</v>
      </c>
      <c r="I18" s="107">
        <v>0.25</v>
      </c>
      <c r="J18" s="107"/>
      <c r="K18" s="107"/>
      <c r="L18" s="163">
        <v>0.1</v>
      </c>
      <c r="M18" s="213"/>
      <c r="N18" s="213"/>
      <c r="O18" s="213"/>
      <c r="P18" s="213"/>
      <c r="Q18" s="213"/>
      <c r="R18" s="213"/>
      <c r="S18" s="213"/>
      <c r="T18" s="213"/>
    </row>
    <row r="19" spans="1:20" x14ac:dyDescent="0.3">
      <c r="A19" s="6" t="s">
        <v>132</v>
      </c>
      <c r="B19" s="18" t="s">
        <v>28</v>
      </c>
      <c r="C19" s="107"/>
      <c r="D19" s="107"/>
      <c r="E19" s="107"/>
      <c r="F19" s="107"/>
      <c r="G19" s="107"/>
      <c r="H19" s="107"/>
      <c r="I19" s="107"/>
      <c r="J19" s="107"/>
      <c r="K19" s="107"/>
      <c r="L19" s="163">
        <v>0.1</v>
      </c>
      <c r="M19" s="213"/>
      <c r="N19" s="213"/>
      <c r="O19" s="213"/>
      <c r="P19" s="213"/>
      <c r="Q19" s="213"/>
      <c r="R19" s="213"/>
      <c r="S19" s="213"/>
      <c r="T19" s="213"/>
    </row>
    <row r="20" spans="1:20" x14ac:dyDescent="0.3">
      <c r="A20" s="6" t="s">
        <v>133</v>
      </c>
      <c r="B20" s="18" t="s">
        <v>28</v>
      </c>
      <c r="C20" s="107"/>
      <c r="D20" s="107"/>
      <c r="E20" s="107"/>
      <c r="F20" s="107"/>
      <c r="G20" s="107"/>
      <c r="H20" s="107"/>
      <c r="I20" s="107"/>
      <c r="J20" s="107"/>
      <c r="K20" s="107"/>
      <c r="L20" s="163"/>
      <c r="M20" s="213"/>
      <c r="N20" s="213"/>
      <c r="O20" s="213"/>
      <c r="P20" s="213"/>
      <c r="Q20" s="213"/>
      <c r="R20" s="213"/>
      <c r="S20" s="213"/>
      <c r="T20" s="213"/>
    </row>
    <row r="21" spans="1:20" x14ac:dyDescent="0.3">
      <c r="A21" s="110"/>
      <c r="B21" s="126" t="s">
        <v>134</v>
      </c>
      <c r="C21" s="125">
        <f>SUM(C11:C20)</f>
        <v>1</v>
      </c>
      <c r="D21" s="125">
        <f t="shared" ref="D21:L21" si="1">SUM(D11:D20)</f>
        <v>1</v>
      </c>
      <c r="E21" s="125">
        <f t="shared" si="1"/>
        <v>1</v>
      </c>
      <c r="F21" s="125">
        <f t="shared" si="1"/>
        <v>1</v>
      </c>
      <c r="G21" s="125">
        <f t="shared" si="1"/>
        <v>1</v>
      </c>
      <c r="H21" s="125">
        <f t="shared" si="1"/>
        <v>1</v>
      </c>
      <c r="I21" s="125">
        <f t="shared" si="1"/>
        <v>1</v>
      </c>
      <c r="J21" s="125">
        <f t="shared" si="1"/>
        <v>1</v>
      </c>
      <c r="K21" s="125">
        <f t="shared" si="1"/>
        <v>1</v>
      </c>
      <c r="L21" s="125">
        <f t="shared" si="1"/>
        <v>1</v>
      </c>
      <c r="M21" s="213"/>
      <c r="N21" s="213"/>
      <c r="O21" s="213"/>
      <c r="P21" s="213"/>
      <c r="Q21" s="213"/>
      <c r="R21" s="213"/>
      <c r="S21" s="213"/>
      <c r="T21" s="213"/>
    </row>
    <row r="22" spans="1:20" x14ac:dyDescent="0.3">
      <c r="A22" s="108" t="s">
        <v>135</v>
      </c>
      <c r="B22" s="113"/>
      <c r="C22" s="112"/>
      <c r="D22" s="112"/>
      <c r="E22" s="112"/>
      <c r="F22" s="112"/>
      <c r="G22" s="112"/>
      <c r="H22" s="112"/>
      <c r="I22" s="112"/>
      <c r="J22" s="112"/>
      <c r="K22" s="112"/>
      <c r="L22" s="112"/>
      <c r="M22" s="219"/>
      <c r="N22" s="219"/>
      <c r="O22" s="219"/>
      <c r="P22" s="219"/>
      <c r="Q22" s="219"/>
      <c r="R22" s="219"/>
      <c r="S22" s="219"/>
      <c r="T22" s="219"/>
    </row>
    <row r="23" spans="1:20" x14ac:dyDescent="0.3">
      <c r="A23" s="6" t="s">
        <v>123</v>
      </c>
      <c r="B23" s="18" t="s">
        <v>136</v>
      </c>
      <c r="C23" s="159"/>
      <c r="D23" s="159"/>
      <c r="E23" s="159"/>
      <c r="F23" s="159"/>
      <c r="G23" s="159"/>
      <c r="H23" s="159"/>
      <c r="I23" s="159"/>
      <c r="J23" s="159"/>
      <c r="K23" s="159"/>
      <c r="L23" s="159"/>
      <c r="M23" s="213" t="s">
        <v>137</v>
      </c>
      <c r="N23" s="213"/>
      <c r="O23" s="213"/>
      <c r="P23" s="213"/>
      <c r="Q23" s="213"/>
      <c r="R23" s="213"/>
      <c r="S23" s="213"/>
      <c r="T23" s="213"/>
    </row>
    <row r="24" spans="1:20" x14ac:dyDescent="0.3">
      <c r="A24" s="6" t="s">
        <v>125</v>
      </c>
      <c r="B24" s="18" t="s">
        <v>136</v>
      </c>
      <c r="C24" s="159">
        <v>0.85</v>
      </c>
      <c r="D24" s="159">
        <v>0.85</v>
      </c>
      <c r="E24" s="159">
        <v>0.85</v>
      </c>
      <c r="F24" s="159">
        <v>0.85</v>
      </c>
      <c r="G24" s="159"/>
      <c r="H24" s="159">
        <v>0.85</v>
      </c>
      <c r="I24" s="159">
        <v>0.85</v>
      </c>
      <c r="J24" s="159">
        <v>0.85</v>
      </c>
      <c r="K24" s="159">
        <v>0.85</v>
      </c>
      <c r="L24" s="159"/>
      <c r="M24" s="213"/>
      <c r="N24" s="213"/>
      <c r="O24" s="213"/>
      <c r="P24" s="213"/>
      <c r="Q24" s="213"/>
      <c r="R24" s="213"/>
      <c r="S24" s="213"/>
      <c r="T24" s="213"/>
    </row>
    <row r="25" spans="1:20" x14ac:dyDescent="0.3">
      <c r="A25" s="6" t="s">
        <v>138</v>
      </c>
      <c r="B25" s="18" t="s">
        <v>136</v>
      </c>
      <c r="C25" s="160"/>
      <c r="D25" s="160">
        <v>3.5</v>
      </c>
      <c r="E25" s="160"/>
      <c r="F25" s="160"/>
      <c r="G25" s="160"/>
      <c r="H25" s="160"/>
      <c r="I25" s="160"/>
      <c r="J25" s="160">
        <v>3.5</v>
      </c>
      <c r="K25" s="160"/>
      <c r="L25" s="160"/>
      <c r="M25" s="213"/>
      <c r="N25" s="213"/>
      <c r="O25" s="213"/>
      <c r="P25" s="213"/>
      <c r="Q25" s="213"/>
      <c r="R25" s="213"/>
      <c r="S25" s="213"/>
      <c r="T25" s="213"/>
    </row>
    <row r="26" spans="1:20" x14ac:dyDescent="0.3">
      <c r="A26" s="6" t="s">
        <v>139</v>
      </c>
      <c r="B26" s="18" t="s">
        <v>136</v>
      </c>
      <c r="C26" s="160"/>
      <c r="D26" s="160"/>
      <c r="E26" s="160"/>
      <c r="F26" s="160"/>
      <c r="G26" s="160">
        <v>3</v>
      </c>
      <c r="H26" s="160"/>
      <c r="I26" s="160"/>
      <c r="J26" s="160"/>
      <c r="K26" s="160">
        <v>3</v>
      </c>
      <c r="L26" s="160">
        <v>3</v>
      </c>
      <c r="M26" s="213"/>
      <c r="N26" s="213"/>
      <c r="O26" s="213"/>
      <c r="P26" s="213"/>
      <c r="Q26" s="213"/>
      <c r="R26" s="213"/>
      <c r="S26" s="213"/>
      <c r="T26" s="213"/>
    </row>
    <row r="27" spans="1:20" x14ac:dyDescent="0.3">
      <c r="A27" s="6" t="s">
        <v>128</v>
      </c>
      <c r="B27" s="18" t="s">
        <v>136</v>
      </c>
      <c r="C27" s="159"/>
      <c r="D27" s="159"/>
      <c r="E27" s="159"/>
      <c r="F27" s="159"/>
      <c r="G27" s="159"/>
      <c r="H27" s="159"/>
      <c r="I27" s="159"/>
      <c r="J27" s="159"/>
      <c r="K27" s="159"/>
      <c r="L27" s="159"/>
      <c r="M27" s="213"/>
      <c r="N27" s="213"/>
      <c r="O27" s="213"/>
      <c r="P27" s="213"/>
      <c r="Q27" s="213"/>
      <c r="R27" s="213"/>
      <c r="S27" s="213"/>
      <c r="T27" s="213"/>
    </row>
    <row r="28" spans="1:20" ht="15.6" x14ac:dyDescent="0.3">
      <c r="A28" s="6" t="s">
        <v>140</v>
      </c>
      <c r="B28" s="18" t="s">
        <v>141</v>
      </c>
      <c r="C28" s="159"/>
      <c r="D28" s="159"/>
      <c r="E28" s="159">
        <v>0.03</v>
      </c>
      <c r="F28" s="159"/>
      <c r="G28" s="159"/>
      <c r="H28" s="159"/>
      <c r="I28" s="159"/>
      <c r="J28" s="159"/>
      <c r="K28" s="159"/>
      <c r="L28" s="159"/>
      <c r="M28" s="213"/>
      <c r="N28" s="213"/>
      <c r="O28" s="213"/>
      <c r="P28" s="213"/>
      <c r="Q28" s="213"/>
      <c r="R28" s="213"/>
      <c r="S28" s="213"/>
      <c r="T28" s="213"/>
    </row>
    <row r="29" spans="1:20" x14ac:dyDescent="0.3">
      <c r="A29" s="6" t="s">
        <v>130</v>
      </c>
      <c r="B29" s="18" t="s">
        <v>136</v>
      </c>
      <c r="C29" s="159"/>
      <c r="D29" s="159"/>
      <c r="E29" s="159"/>
      <c r="F29" s="159"/>
      <c r="G29" s="159"/>
      <c r="H29" s="159"/>
      <c r="I29" s="159"/>
      <c r="J29" s="159"/>
      <c r="K29" s="159"/>
      <c r="L29" s="159"/>
      <c r="M29" s="213"/>
      <c r="N29" s="213"/>
      <c r="O29" s="213"/>
      <c r="P29" s="213"/>
      <c r="Q29" s="213"/>
      <c r="R29" s="213"/>
      <c r="S29" s="213"/>
      <c r="T29" s="213"/>
    </row>
    <row r="30" spans="1:20" x14ac:dyDescent="0.3">
      <c r="A30" s="6" t="s">
        <v>131</v>
      </c>
      <c r="B30" s="18" t="s">
        <v>136</v>
      </c>
      <c r="C30" s="159">
        <v>0.82</v>
      </c>
      <c r="D30" s="159"/>
      <c r="E30" s="159"/>
      <c r="F30" s="159"/>
      <c r="G30" s="159"/>
      <c r="H30" s="159">
        <v>0.85</v>
      </c>
      <c r="I30" s="159">
        <v>0.85</v>
      </c>
      <c r="J30" s="159"/>
      <c r="K30" s="159"/>
      <c r="L30" s="159">
        <v>0.85</v>
      </c>
      <c r="M30" s="213"/>
      <c r="N30" s="213"/>
      <c r="O30" s="213"/>
      <c r="P30" s="213"/>
      <c r="Q30" s="213"/>
      <c r="R30" s="213"/>
      <c r="S30" s="213"/>
      <c r="T30" s="213"/>
    </row>
    <row r="31" spans="1:20" x14ac:dyDescent="0.3">
      <c r="A31" s="109" t="s">
        <v>132</v>
      </c>
      <c r="B31" s="18" t="s">
        <v>136</v>
      </c>
      <c r="C31" s="159"/>
      <c r="D31" s="159"/>
      <c r="E31" s="159"/>
      <c r="F31" s="159"/>
      <c r="G31" s="159"/>
      <c r="H31" s="159"/>
      <c r="I31" s="159"/>
      <c r="J31" s="159"/>
      <c r="K31" s="159"/>
      <c r="L31" s="159">
        <v>0.85</v>
      </c>
      <c r="M31" s="213"/>
      <c r="N31" s="213"/>
      <c r="O31" s="213"/>
      <c r="P31" s="213"/>
      <c r="Q31" s="213"/>
      <c r="R31" s="213"/>
      <c r="S31" s="213"/>
      <c r="T31" s="213"/>
    </row>
    <row r="32" spans="1:20" x14ac:dyDescent="0.3">
      <c r="A32" s="6" t="s">
        <v>133</v>
      </c>
      <c r="B32" s="18" t="s">
        <v>136</v>
      </c>
      <c r="C32" s="159"/>
      <c r="D32" s="159"/>
      <c r="E32" s="159"/>
      <c r="F32" s="159"/>
      <c r="G32" s="159"/>
      <c r="H32" s="159"/>
      <c r="I32" s="159"/>
      <c r="J32" s="159"/>
      <c r="K32" s="159"/>
      <c r="L32" s="159"/>
      <c r="M32" s="213"/>
      <c r="N32" s="213"/>
      <c r="O32" s="213"/>
      <c r="P32" s="213"/>
      <c r="Q32" s="213"/>
      <c r="R32" s="213"/>
      <c r="S32" s="213"/>
      <c r="T32" s="213"/>
    </row>
    <row r="33" spans="1:20" x14ac:dyDescent="0.3">
      <c r="B33" s="37"/>
      <c r="M33" s="246"/>
      <c r="N33" s="246"/>
      <c r="O33" s="246"/>
      <c r="P33" s="246"/>
      <c r="Q33" s="246"/>
      <c r="R33" s="246"/>
      <c r="S33" s="246"/>
      <c r="T33" s="246"/>
    </row>
    <row r="34" spans="1:20" x14ac:dyDescent="0.3">
      <c r="A34" s="108" t="s">
        <v>142</v>
      </c>
      <c r="B34" s="37"/>
      <c r="M34" s="247"/>
      <c r="N34" s="247"/>
      <c r="O34" s="247"/>
      <c r="P34" s="247"/>
      <c r="Q34" s="247"/>
      <c r="R34" s="247"/>
      <c r="S34" s="247"/>
      <c r="T34" s="247"/>
    </row>
    <row r="35" spans="1:20" x14ac:dyDescent="0.3">
      <c r="A35" s="122" t="s">
        <v>143</v>
      </c>
      <c r="B35" s="18" t="s">
        <v>117</v>
      </c>
      <c r="C35" s="194">
        <f>IF(C11&gt;0,C7*C11/C23,0)</f>
        <v>0</v>
      </c>
      <c r="D35" s="194">
        <f t="shared" ref="D35:L35" si="2">IF(D11&gt;0,D7*D11/D23,0)</f>
        <v>0</v>
      </c>
      <c r="E35" s="194">
        <f t="shared" si="2"/>
        <v>0</v>
      </c>
      <c r="F35" s="194">
        <f t="shared" si="2"/>
        <v>0</v>
      </c>
      <c r="G35" s="194">
        <f t="shared" si="2"/>
        <v>0</v>
      </c>
      <c r="H35" s="194">
        <f t="shared" si="2"/>
        <v>0</v>
      </c>
      <c r="I35" s="194">
        <f t="shared" si="2"/>
        <v>0</v>
      </c>
      <c r="J35" s="194">
        <f t="shared" si="2"/>
        <v>0</v>
      </c>
      <c r="K35" s="194">
        <f t="shared" si="2"/>
        <v>0</v>
      </c>
      <c r="L35" s="194">
        <f t="shared" si="2"/>
        <v>0</v>
      </c>
      <c r="M35" s="213" t="s">
        <v>144</v>
      </c>
      <c r="N35" s="213"/>
      <c r="O35" s="213"/>
      <c r="P35" s="213"/>
      <c r="Q35" s="213"/>
      <c r="R35" s="213"/>
      <c r="S35" s="213"/>
      <c r="T35" s="213"/>
    </row>
    <row r="36" spans="1:20" x14ac:dyDescent="0.3">
      <c r="A36" s="122" t="s">
        <v>145</v>
      </c>
      <c r="B36" s="18" t="s">
        <v>117</v>
      </c>
      <c r="C36" s="195">
        <f>IF(C12&gt;0,C7*C12/C24,0)</f>
        <v>9741.176470588236</v>
      </c>
      <c r="D36" s="195">
        <f t="shared" ref="D36:L36" si="3">IF(D12&gt;0,D7*D12/D24,0)</f>
        <v>16235.294117647059</v>
      </c>
      <c r="E36" s="195">
        <f t="shared" si="3"/>
        <v>25976.470588235294</v>
      </c>
      <c r="F36" s="195">
        <f t="shared" si="3"/>
        <v>32470.588235294119</v>
      </c>
      <c r="G36" s="195">
        <f t="shared" si="3"/>
        <v>0</v>
      </c>
      <c r="H36" s="195">
        <f t="shared" si="3"/>
        <v>16235.294117647059</v>
      </c>
      <c r="I36" s="195">
        <f t="shared" si="3"/>
        <v>24352.941176470587</v>
      </c>
      <c r="J36" s="195">
        <f t="shared" si="3"/>
        <v>24352.941176470587</v>
      </c>
      <c r="K36" s="195">
        <f t="shared" si="3"/>
        <v>24352.941176470587</v>
      </c>
      <c r="L36" s="195">
        <f t="shared" si="3"/>
        <v>0</v>
      </c>
      <c r="M36" s="213"/>
      <c r="N36" s="213"/>
      <c r="O36" s="213"/>
      <c r="P36" s="213"/>
      <c r="Q36" s="213"/>
      <c r="R36" s="213"/>
      <c r="S36" s="213"/>
      <c r="T36" s="213"/>
    </row>
    <row r="37" spans="1:20" x14ac:dyDescent="0.3">
      <c r="A37" s="118" t="s">
        <v>44</v>
      </c>
      <c r="B37" s="18" t="s">
        <v>117</v>
      </c>
      <c r="C37" s="195">
        <f>IF(AND(C13&gt;0,C15&gt;0),C7*C13/C25*(C25-1)+C7*C15/C27,IF(C13&gt;0,C7*C13/C25*(C25-1),IF(C15&gt;0,C7*C15/C27,0)))</f>
        <v>0</v>
      </c>
      <c r="D37" s="195">
        <f t="shared" ref="D37:L37" si="4">IF(AND(D13&gt;0,D15&gt;0),D7*D13/D25*(D25-1)+D7*D15/D27,IF(D13&gt;0,D7*D13/D25*(D25-1),IF(D15&gt;0,D7*D15/D27,0)))</f>
        <v>9857.1428571428569</v>
      </c>
      <c r="E37" s="195">
        <f t="shared" si="4"/>
        <v>0</v>
      </c>
      <c r="F37" s="195">
        <f t="shared" si="4"/>
        <v>0</v>
      </c>
      <c r="G37" s="195">
        <f t="shared" si="4"/>
        <v>0</v>
      </c>
      <c r="H37" s="195">
        <f t="shared" si="4"/>
        <v>0</v>
      </c>
      <c r="I37" s="195">
        <f t="shared" si="4"/>
        <v>0</v>
      </c>
      <c r="J37" s="195">
        <f t="shared" si="4"/>
        <v>4928.5714285714284</v>
      </c>
      <c r="K37" s="195">
        <f t="shared" si="4"/>
        <v>0</v>
      </c>
      <c r="L37" s="195">
        <f t="shared" si="4"/>
        <v>0</v>
      </c>
      <c r="M37" s="213"/>
      <c r="N37" s="213"/>
      <c r="O37" s="213"/>
      <c r="P37" s="213"/>
      <c r="Q37" s="213"/>
      <c r="R37" s="213"/>
      <c r="S37" s="213"/>
      <c r="T37" s="213"/>
    </row>
    <row r="38" spans="1:20" x14ac:dyDescent="0.3">
      <c r="A38" s="119" t="s">
        <v>60</v>
      </c>
      <c r="B38" s="18" t="s">
        <v>117</v>
      </c>
      <c r="C38" s="195">
        <f>IF(C13&gt;0,C7*C13/C25,0)+IF(C17&gt;0,C7*C17/C29,0)+IF(C14&gt;0,C7*C14/C26,0)+IF(C16&gt;0,C7*C16*C28,0)</f>
        <v>0</v>
      </c>
      <c r="D38" s="195">
        <f>IF(D13&gt;0,D7*D13/D25,0)+IF(D17&gt;0,D7*D17/D29,0)+IF(D14&gt;0,D7*D14/D26,0)+IF(D16&gt;0,D7*D16*D28,0)</f>
        <v>3942.8571428571427</v>
      </c>
      <c r="E38" s="195">
        <f t="shared" ref="E38:L38" si="5">IF(E13&gt;0,E7*E13/E25,0)+IF(E17&gt;0,E7*E17/E29,0)+IF(E14&gt;0,E7*E14/E26,0)+IF(E16&gt;0,E7*E16*E28,0)</f>
        <v>165.6</v>
      </c>
      <c r="F38" s="195">
        <f t="shared" si="5"/>
        <v>0</v>
      </c>
      <c r="G38" s="195">
        <f t="shared" si="5"/>
        <v>9200</v>
      </c>
      <c r="H38" s="195">
        <f t="shared" si="5"/>
        <v>0</v>
      </c>
      <c r="I38" s="195">
        <f t="shared" si="5"/>
        <v>0</v>
      </c>
      <c r="J38" s="195">
        <f t="shared" si="5"/>
        <v>1971.4285714285713</v>
      </c>
      <c r="K38" s="195">
        <f t="shared" si="5"/>
        <v>2300</v>
      </c>
      <c r="L38" s="195">
        <f t="shared" si="5"/>
        <v>7360</v>
      </c>
      <c r="M38" s="213"/>
      <c r="N38" s="213"/>
      <c r="O38" s="213"/>
      <c r="P38" s="213"/>
      <c r="Q38" s="213"/>
      <c r="R38" s="213"/>
      <c r="S38" s="213"/>
      <c r="T38" s="213"/>
    </row>
    <row r="39" spans="1:20" x14ac:dyDescent="0.3">
      <c r="A39" s="120" t="s">
        <v>146</v>
      </c>
      <c r="B39" s="18" t="s">
        <v>117</v>
      </c>
      <c r="C39" s="195">
        <f>IF(C18&gt;0,$C$7*C18/C30,0)</f>
        <v>23560.9756097561</v>
      </c>
      <c r="D39" s="195">
        <f t="shared" ref="D39:L39" si="6">IF(D18&gt;0,$C$7*D18/D30,0)</f>
        <v>0</v>
      </c>
      <c r="E39" s="195">
        <f t="shared" si="6"/>
        <v>0</v>
      </c>
      <c r="F39" s="195">
        <f t="shared" si="6"/>
        <v>0</v>
      </c>
      <c r="G39" s="195">
        <f t="shared" si="6"/>
        <v>0</v>
      </c>
      <c r="H39" s="195">
        <f t="shared" si="6"/>
        <v>16235.294117647059</v>
      </c>
      <c r="I39" s="195">
        <f t="shared" si="6"/>
        <v>8117.6470588235297</v>
      </c>
      <c r="J39" s="195">
        <f t="shared" si="6"/>
        <v>0</v>
      </c>
      <c r="K39" s="195">
        <f t="shared" si="6"/>
        <v>0</v>
      </c>
      <c r="L39" s="195">
        <f t="shared" si="6"/>
        <v>3247.0588235294117</v>
      </c>
      <c r="M39" s="213"/>
      <c r="N39" s="213"/>
      <c r="O39" s="213"/>
      <c r="P39" s="213"/>
      <c r="Q39" s="213"/>
      <c r="R39" s="213"/>
      <c r="S39" s="213"/>
      <c r="T39" s="213"/>
    </row>
    <row r="40" spans="1:20" x14ac:dyDescent="0.3">
      <c r="A40" s="121" t="s">
        <v>54</v>
      </c>
      <c r="B40" s="18" t="s">
        <v>117</v>
      </c>
      <c r="C40" s="195">
        <f>IF(C19&gt;0,$C$7*C19/C31,0)</f>
        <v>0</v>
      </c>
      <c r="D40" s="195">
        <f t="shared" ref="D40:L40" si="7">IF(D19&gt;0,$C$7*D19/D31,0)</f>
        <v>0</v>
      </c>
      <c r="E40" s="195">
        <f t="shared" si="7"/>
        <v>0</v>
      </c>
      <c r="F40" s="195">
        <f t="shared" si="7"/>
        <v>0</v>
      </c>
      <c r="G40" s="195">
        <f t="shared" si="7"/>
        <v>0</v>
      </c>
      <c r="H40" s="195">
        <f t="shared" si="7"/>
        <v>0</v>
      </c>
      <c r="I40" s="195">
        <f t="shared" si="7"/>
        <v>0</v>
      </c>
      <c r="J40" s="195">
        <f t="shared" si="7"/>
        <v>0</v>
      </c>
      <c r="K40" s="195">
        <f t="shared" si="7"/>
        <v>0</v>
      </c>
      <c r="L40" s="195">
        <f t="shared" si="7"/>
        <v>3247.0588235294117</v>
      </c>
      <c r="M40" s="213"/>
      <c r="N40" s="213"/>
      <c r="O40" s="213"/>
      <c r="P40" s="213"/>
      <c r="Q40" s="213"/>
      <c r="R40" s="213"/>
      <c r="S40" s="213"/>
      <c r="T40" s="213"/>
    </row>
    <row r="41" spans="1:20" x14ac:dyDescent="0.3">
      <c r="A41" s="120" t="s">
        <v>58</v>
      </c>
      <c r="B41" s="18" t="s">
        <v>117</v>
      </c>
      <c r="C41" s="194">
        <f>IF(C20&gt;0,$C$7*C20/C32,0)</f>
        <v>0</v>
      </c>
      <c r="D41" s="194">
        <f t="shared" ref="D41:L41" si="8">IF(D20&gt;0,$C$7*D20/D32,0)</f>
        <v>0</v>
      </c>
      <c r="E41" s="194">
        <f t="shared" si="8"/>
        <v>0</v>
      </c>
      <c r="F41" s="194">
        <f t="shared" si="8"/>
        <v>0</v>
      </c>
      <c r="G41" s="194">
        <f t="shared" si="8"/>
        <v>0</v>
      </c>
      <c r="H41" s="194">
        <f t="shared" si="8"/>
        <v>0</v>
      </c>
      <c r="I41" s="194">
        <f t="shared" si="8"/>
        <v>0</v>
      </c>
      <c r="J41" s="194">
        <f t="shared" si="8"/>
        <v>0</v>
      </c>
      <c r="K41" s="194">
        <f t="shared" si="8"/>
        <v>0</v>
      </c>
      <c r="L41" s="194">
        <f t="shared" si="8"/>
        <v>0</v>
      </c>
      <c r="M41" s="213"/>
      <c r="N41" s="213"/>
      <c r="O41" s="213"/>
      <c r="P41" s="213"/>
      <c r="Q41" s="213"/>
      <c r="R41" s="213"/>
      <c r="S41" s="213"/>
      <c r="T41" s="213"/>
    </row>
    <row r="42" spans="1:20" x14ac:dyDescent="0.3">
      <c r="A42" s="127" t="s">
        <v>147</v>
      </c>
      <c r="B42" s="18" t="s">
        <v>117</v>
      </c>
      <c r="C42" s="194">
        <f>SUM(C35:C41)</f>
        <v>33302.152080344335</v>
      </c>
      <c r="D42" s="194">
        <f t="shared" ref="D42:L42" si="9">SUM(D35:D41)</f>
        <v>30035.294117647059</v>
      </c>
      <c r="E42" s="194">
        <f t="shared" si="9"/>
        <v>26142.070588235292</v>
      </c>
      <c r="F42" s="194">
        <f t="shared" si="9"/>
        <v>32470.588235294119</v>
      </c>
      <c r="G42" s="194">
        <f t="shared" si="9"/>
        <v>9200</v>
      </c>
      <c r="H42" s="194">
        <f t="shared" si="9"/>
        <v>32470.588235294119</v>
      </c>
      <c r="I42" s="194">
        <f t="shared" si="9"/>
        <v>32470.588235294119</v>
      </c>
      <c r="J42" s="194">
        <f t="shared" si="9"/>
        <v>31252.941176470587</v>
      </c>
      <c r="K42" s="194">
        <f t="shared" si="9"/>
        <v>26652.941176470587</v>
      </c>
      <c r="L42" s="194">
        <f t="shared" si="9"/>
        <v>13854.117647058825</v>
      </c>
      <c r="M42" s="213"/>
      <c r="N42" s="213"/>
      <c r="O42" s="213"/>
      <c r="P42" s="213"/>
      <c r="Q42" s="213"/>
      <c r="R42" s="213"/>
      <c r="S42" s="213"/>
      <c r="T42" s="213"/>
    </row>
    <row r="43" spans="1:20" x14ac:dyDescent="0.3">
      <c r="A43" s="128" t="s">
        <v>148</v>
      </c>
      <c r="B43" s="18" t="s">
        <v>28</v>
      </c>
      <c r="C43" s="196">
        <f t="shared" ref="C43:L43" si="10">C7/C42</f>
        <v>0.82877526753864439</v>
      </c>
      <c r="D43" s="196">
        <f t="shared" si="10"/>
        <v>0.91891891891891886</v>
      </c>
      <c r="E43" s="196">
        <f t="shared" si="10"/>
        <v>1.0557694696311017</v>
      </c>
      <c r="F43" s="196">
        <f t="shared" si="10"/>
        <v>0.85</v>
      </c>
      <c r="G43" s="196">
        <f t="shared" si="10"/>
        <v>3</v>
      </c>
      <c r="H43" s="196">
        <f t="shared" si="10"/>
        <v>0.85</v>
      </c>
      <c r="I43" s="196">
        <f t="shared" si="10"/>
        <v>0.85</v>
      </c>
      <c r="J43" s="196">
        <f t="shared" si="10"/>
        <v>0.88311688311688319</v>
      </c>
      <c r="K43" s="196">
        <f t="shared" si="10"/>
        <v>1.0355329949238579</v>
      </c>
      <c r="L43" s="196">
        <f t="shared" si="10"/>
        <v>1.9921874999999998</v>
      </c>
      <c r="M43" s="213"/>
      <c r="N43" s="213"/>
      <c r="O43" s="213"/>
      <c r="P43" s="213"/>
      <c r="Q43" s="213"/>
      <c r="R43" s="213"/>
      <c r="S43" s="213"/>
      <c r="T43" s="213"/>
    </row>
    <row r="44" spans="1:20" x14ac:dyDescent="0.3">
      <c r="B44" s="111"/>
      <c r="C44" s="197"/>
      <c r="D44" s="197"/>
      <c r="E44" s="197"/>
      <c r="F44" s="197"/>
      <c r="G44" s="197"/>
      <c r="H44" s="197"/>
      <c r="I44" s="197"/>
      <c r="J44" s="197"/>
      <c r="K44" s="197"/>
      <c r="L44" s="197"/>
      <c r="M44" s="246"/>
      <c r="N44" s="246"/>
      <c r="O44" s="246"/>
      <c r="P44" s="246"/>
      <c r="Q44" s="246"/>
      <c r="R44" s="246"/>
      <c r="S44" s="246"/>
      <c r="T44" s="246"/>
    </row>
    <row r="45" spans="1:20" s="48" customFormat="1" x14ac:dyDescent="0.3">
      <c r="A45" s="35" t="s">
        <v>142</v>
      </c>
      <c r="B45" s="113"/>
      <c r="C45" s="112"/>
      <c r="D45" s="112"/>
      <c r="E45" s="112"/>
      <c r="F45" s="112"/>
      <c r="G45" s="112"/>
      <c r="H45" s="112"/>
      <c r="I45" s="112"/>
      <c r="J45" s="112"/>
      <c r="K45" s="112"/>
      <c r="L45" s="112"/>
      <c r="M45" s="247"/>
      <c r="N45" s="247"/>
      <c r="O45" s="247"/>
      <c r="P45" s="247"/>
      <c r="Q45" s="247"/>
      <c r="R45" s="247"/>
      <c r="S45" s="247"/>
      <c r="T45" s="247"/>
    </row>
    <row r="46" spans="1:20" x14ac:dyDescent="0.3">
      <c r="A46" s="117" t="s">
        <v>44</v>
      </c>
      <c r="B46" s="18" t="s">
        <v>28</v>
      </c>
      <c r="C46" s="198" t="str">
        <f>IF(C37&gt;0,C37/C42,"")</f>
        <v/>
      </c>
      <c r="D46" s="198">
        <f t="shared" ref="D46:L46" si="11">IF(D37&gt;0,D37/D42,"")</f>
        <v>0.3281853281853282</v>
      </c>
      <c r="E46" s="198" t="str">
        <f t="shared" si="11"/>
        <v/>
      </c>
      <c r="F46" s="198" t="str">
        <f t="shared" si="11"/>
        <v/>
      </c>
      <c r="G46" s="198" t="str">
        <f t="shared" si="11"/>
        <v/>
      </c>
      <c r="H46" s="198" t="str">
        <f t="shared" si="11"/>
        <v/>
      </c>
      <c r="I46" s="198" t="str">
        <f t="shared" si="11"/>
        <v/>
      </c>
      <c r="J46" s="198">
        <f t="shared" si="11"/>
        <v>0.15769944341372913</v>
      </c>
      <c r="K46" s="198" t="str">
        <f t="shared" si="11"/>
        <v/>
      </c>
      <c r="L46" s="198" t="str">
        <f t="shared" si="11"/>
        <v/>
      </c>
      <c r="M46" s="213" t="s">
        <v>149</v>
      </c>
      <c r="N46" s="213"/>
      <c r="O46" s="213"/>
      <c r="P46" s="213"/>
      <c r="Q46" s="213"/>
      <c r="R46" s="213"/>
      <c r="S46" s="213"/>
      <c r="T46" s="213"/>
    </row>
    <row r="47" spans="1:20" ht="15" thickBot="1" x14ac:dyDescent="0.35">
      <c r="A47" s="189" t="s">
        <v>60</v>
      </c>
      <c r="B47" s="95" t="s">
        <v>28</v>
      </c>
      <c r="C47" s="199" t="str">
        <f>IF(C38&gt;0,C38/C42,"")</f>
        <v/>
      </c>
      <c r="D47" s="199">
        <f t="shared" ref="D47:L47" si="12">IF(D38&gt;0,D38/D42,0)</f>
        <v>0.13127413127413126</v>
      </c>
      <c r="E47" s="199">
        <f t="shared" si="12"/>
        <v>6.3346168177866105E-3</v>
      </c>
      <c r="F47" s="199">
        <f t="shared" si="12"/>
        <v>0</v>
      </c>
      <c r="G47" s="199">
        <f t="shared" si="12"/>
        <v>1</v>
      </c>
      <c r="H47" s="199">
        <f t="shared" si="12"/>
        <v>0</v>
      </c>
      <c r="I47" s="199">
        <f t="shared" si="12"/>
        <v>0</v>
      </c>
      <c r="J47" s="199">
        <f t="shared" si="12"/>
        <v>6.3079777365491654E-2</v>
      </c>
      <c r="K47" s="199">
        <f t="shared" si="12"/>
        <v>8.6294416243654831E-2</v>
      </c>
      <c r="L47" s="200">
        <f t="shared" si="12"/>
        <v>0.53124999999999989</v>
      </c>
      <c r="M47" s="213"/>
      <c r="N47" s="213"/>
      <c r="O47" s="213"/>
      <c r="P47" s="213"/>
      <c r="Q47" s="213"/>
      <c r="R47" s="213"/>
      <c r="S47" s="213"/>
      <c r="T47" s="213"/>
    </row>
    <row r="48" spans="1:20" x14ac:dyDescent="0.3">
      <c r="A48" s="191" t="s">
        <v>150</v>
      </c>
      <c r="B48" s="201" t="s">
        <v>28</v>
      </c>
      <c r="C48" s="202">
        <f>IF(SUM(C23:C24)=0,"",(IF(C11&gt;0,C7*C11/C23,0)+IF(C12&gt;0,C7*C12/C24,0))/C42)</f>
        <v>0.29250891795481571</v>
      </c>
      <c r="D48" s="202">
        <f t="shared" ref="D48:L48" si="13">IF(SUM(D23:D24)=0,"",(IF(D11&gt;0,D7*D11/D23,0)+IF(D12&gt;0,D7*D12/D24,0))/D42)</f>
        <v>0.54054054054054057</v>
      </c>
      <c r="E48" s="202">
        <f t="shared" si="13"/>
        <v>0.99366538318221342</v>
      </c>
      <c r="F48" s="202">
        <f t="shared" si="13"/>
        <v>1</v>
      </c>
      <c r="G48" s="202" t="str">
        <f t="shared" si="13"/>
        <v/>
      </c>
      <c r="H48" s="202">
        <f t="shared" si="13"/>
        <v>0.5</v>
      </c>
      <c r="I48" s="202">
        <f t="shared" si="13"/>
        <v>0.74999999999999989</v>
      </c>
      <c r="J48" s="202">
        <f t="shared" si="13"/>
        <v>0.77922077922077926</v>
      </c>
      <c r="K48" s="202">
        <f t="shared" si="13"/>
        <v>0.91370558375634514</v>
      </c>
      <c r="L48" s="202" t="str">
        <f t="shared" si="13"/>
        <v/>
      </c>
      <c r="M48" s="213"/>
      <c r="N48" s="213"/>
      <c r="O48" s="213"/>
      <c r="P48" s="213"/>
      <c r="Q48" s="213"/>
      <c r="R48" s="213"/>
      <c r="S48" s="213"/>
      <c r="T48" s="213"/>
    </row>
    <row r="49" spans="1:21" x14ac:dyDescent="0.3">
      <c r="A49" s="123" t="s">
        <v>151</v>
      </c>
      <c r="B49" s="37"/>
      <c r="L49" s="203"/>
      <c r="M49" s="213"/>
      <c r="N49" s="213"/>
      <c r="O49" s="213"/>
      <c r="P49" s="213"/>
      <c r="Q49" s="213"/>
      <c r="R49" s="213"/>
      <c r="S49" s="213"/>
      <c r="T49" s="213"/>
    </row>
    <row r="50" spans="1:21" x14ac:dyDescent="0.3">
      <c r="A50" s="115" t="s">
        <v>143</v>
      </c>
      <c r="B50" s="18" t="s">
        <v>28</v>
      </c>
      <c r="C50" s="198" t="str">
        <f>IF(C11&gt;0,C7*C11/C23/(C35+C36),"")</f>
        <v/>
      </c>
      <c r="D50" s="198" t="str">
        <f t="shared" ref="D50:L50" si="14">IF(D11&gt;0,D7*D11/D23/(D35+D36),"")</f>
        <v/>
      </c>
      <c r="E50" s="198" t="str">
        <f t="shared" si="14"/>
        <v/>
      </c>
      <c r="F50" s="198" t="str">
        <f t="shared" si="14"/>
        <v/>
      </c>
      <c r="G50" s="198" t="str">
        <f t="shared" si="14"/>
        <v/>
      </c>
      <c r="H50" s="198" t="str">
        <f t="shared" si="14"/>
        <v/>
      </c>
      <c r="I50" s="198" t="str">
        <f t="shared" si="14"/>
        <v/>
      </c>
      <c r="J50" s="198" t="str">
        <f t="shared" si="14"/>
        <v/>
      </c>
      <c r="K50" s="198" t="str">
        <f t="shared" si="14"/>
        <v/>
      </c>
      <c r="L50" s="198" t="str">
        <f t="shared" si="14"/>
        <v/>
      </c>
      <c r="M50" s="213"/>
      <c r="N50" s="213"/>
      <c r="O50" s="213"/>
      <c r="P50" s="213"/>
      <c r="Q50" s="213"/>
      <c r="R50" s="213"/>
      <c r="S50" s="213"/>
      <c r="T50" s="213"/>
    </row>
    <row r="51" spans="1:21" ht="15" thickBot="1" x14ac:dyDescent="0.35">
      <c r="A51" s="192" t="s">
        <v>145</v>
      </c>
      <c r="B51" s="204" t="s">
        <v>28</v>
      </c>
      <c r="C51" s="205">
        <f>IF(C12&gt;0,C7*C12/C24/(C35+C36),"")</f>
        <v>1</v>
      </c>
      <c r="D51" s="205">
        <f t="shared" ref="D51:L51" si="15">IF(D12&gt;0,D7*D12/D24/(D35+D36),"")</f>
        <v>1</v>
      </c>
      <c r="E51" s="205">
        <f t="shared" si="15"/>
        <v>1</v>
      </c>
      <c r="F51" s="205">
        <f t="shared" si="15"/>
        <v>1</v>
      </c>
      <c r="G51" s="205" t="str">
        <f t="shared" si="15"/>
        <v/>
      </c>
      <c r="H51" s="205">
        <f t="shared" si="15"/>
        <v>1</v>
      </c>
      <c r="I51" s="205">
        <f t="shared" si="15"/>
        <v>1</v>
      </c>
      <c r="J51" s="205">
        <f t="shared" si="15"/>
        <v>1</v>
      </c>
      <c r="K51" s="205">
        <f t="shared" si="15"/>
        <v>1</v>
      </c>
      <c r="L51" s="205" t="str">
        <f t="shared" si="15"/>
        <v/>
      </c>
      <c r="M51" s="213"/>
      <c r="N51" s="213"/>
      <c r="O51" s="213"/>
      <c r="P51" s="213"/>
      <c r="Q51" s="213"/>
      <c r="R51" s="213"/>
      <c r="S51" s="213"/>
      <c r="T51" s="213"/>
    </row>
    <row r="52" spans="1:21" x14ac:dyDescent="0.3">
      <c r="A52" s="190" t="s">
        <v>152</v>
      </c>
      <c r="B52" s="206" t="s">
        <v>28</v>
      </c>
      <c r="C52" s="207">
        <f>IF(OR(C39&gt;0,C40&gt;0,C41&gt;0),(IF(C39&gt;0,C39,0)+IF(C40&gt;0,C40,0)+IF(C41&gt;0,C41,0))/C42,"")</f>
        <v>0.70749108204518441</v>
      </c>
      <c r="D52" s="207" t="str">
        <f t="shared" ref="D52:L52" si="16">IF(OR(D39&gt;0,D40&gt;0,D41&gt;0),(IF(D39&gt;0,D39,0)+IF(D40&gt;0,D40,0)+IF(D41&gt;0,D41,0))/D42,"")</f>
        <v/>
      </c>
      <c r="E52" s="207" t="str">
        <f t="shared" si="16"/>
        <v/>
      </c>
      <c r="F52" s="207" t="str">
        <f t="shared" si="16"/>
        <v/>
      </c>
      <c r="G52" s="207" t="str">
        <f t="shared" si="16"/>
        <v/>
      </c>
      <c r="H52" s="207">
        <f t="shared" si="16"/>
        <v>0.5</v>
      </c>
      <c r="I52" s="207">
        <f t="shared" si="16"/>
        <v>0.25</v>
      </c>
      <c r="J52" s="207" t="str">
        <f t="shared" si="16"/>
        <v/>
      </c>
      <c r="K52" s="207" t="str">
        <f t="shared" si="16"/>
        <v/>
      </c>
      <c r="L52" s="207">
        <f t="shared" si="16"/>
        <v>0.46874999999999994</v>
      </c>
      <c r="M52" s="213"/>
      <c r="N52" s="213"/>
      <c r="O52" s="213"/>
      <c r="P52" s="213"/>
      <c r="Q52" s="213"/>
      <c r="R52" s="213"/>
      <c r="S52" s="213"/>
      <c r="T52" s="213"/>
    </row>
    <row r="53" spans="1:21" x14ac:dyDescent="0.3">
      <c r="A53" s="123" t="s">
        <v>151</v>
      </c>
      <c r="B53" s="37"/>
      <c r="M53" s="213"/>
      <c r="N53" s="213"/>
      <c r="O53" s="213"/>
      <c r="P53" s="213"/>
      <c r="Q53" s="213"/>
      <c r="R53" s="213"/>
      <c r="S53" s="213"/>
      <c r="T53" s="213"/>
    </row>
    <row r="54" spans="1:21" x14ac:dyDescent="0.3">
      <c r="A54" s="116" t="s">
        <v>146</v>
      </c>
      <c r="B54" s="18" t="s">
        <v>28</v>
      </c>
      <c r="C54" s="198">
        <f>IF(C39&gt;0,C39/SUM(C39:C41),"")</f>
        <v>1</v>
      </c>
      <c r="D54" s="198" t="str">
        <f t="shared" ref="D54:L54" si="17">IF(D39&gt;0,D39/SUM(D39:D41),"")</f>
        <v/>
      </c>
      <c r="E54" s="198" t="str">
        <f t="shared" si="17"/>
        <v/>
      </c>
      <c r="F54" s="198" t="str">
        <f t="shared" si="17"/>
        <v/>
      </c>
      <c r="G54" s="198" t="str">
        <f t="shared" si="17"/>
        <v/>
      </c>
      <c r="H54" s="198">
        <f t="shared" si="17"/>
        <v>1</v>
      </c>
      <c r="I54" s="198">
        <f t="shared" si="17"/>
        <v>1</v>
      </c>
      <c r="J54" s="198" t="str">
        <f t="shared" si="17"/>
        <v/>
      </c>
      <c r="K54" s="198" t="str">
        <f t="shared" si="17"/>
        <v/>
      </c>
      <c r="L54" s="198">
        <f t="shared" si="17"/>
        <v>0.5</v>
      </c>
      <c r="M54" s="213"/>
      <c r="N54" s="213"/>
      <c r="O54" s="213"/>
      <c r="P54" s="213"/>
      <c r="Q54" s="213"/>
      <c r="R54" s="213"/>
      <c r="S54" s="213"/>
      <c r="T54" s="213"/>
    </row>
    <row r="55" spans="1:21" x14ac:dyDescent="0.3">
      <c r="A55" s="116" t="s">
        <v>54</v>
      </c>
      <c r="B55" s="18" t="s">
        <v>28</v>
      </c>
      <c r="C55" s="198" t="str">
        <f>IF(C40&gt;0,C40/SUM(C39:C41),"")</f>
        <v/>
      </c>
      <c r="D55" s="198" t="str">
        <f t="shared" ref="D55:L55" si="18">IF(D40&gt;0,D40/SUM(D39:D41),"")</f>
        <v/>
      </c>
      <c r="E55" s="198" t="str">
        <f t="shared" si="18"/>
        <v/>
      </c>
      <c r="F55" s="198" t="str">
        <f t="shared" si="18"/>
        <v/>
      </c>
      <c r="G55" s="198" t="str">
        <f t="shared" si="18"/>
        <v/>
      </c>
      <c r="H55" s="198" t="str">
        <f t="shared" si="18"/>
        <v/>
      </c>
      <c r="I55" s="198" t="str">
        <f t="shared" si="18"/>
        <v/>
      </c>
      <c r="J55" s="198" t="str">
        <f t="shared" si="18"/>
        <v/>
      </c>
      <c r="K55" s="198" t="str">
        <f t="shared" si="18"/>
        <v/>
      </c>
      <c r="L55" s="198">
        <f t="shared" si="18"/>
        <v>0.5</v>
      </c>
      <c r="M55" s="213"/>
      <c r="N55" s="213"/>
      <c r="O55" s="213"/>
      <c r="P55" s="213"/>
      <c r="Q55" s="213"/>
      <c r="R55" s="213"/>
      <c r="S55" s="213"/>
      <c r="T55" s="213"/>
    </row>
    <row r="56" spans="1:21" ht="15" thickBot="1" x14ac:dyDescent="0.35">
      <c r="A56" s="193" t="s">
        <v>58</v>
      </c>
      <c r="B56" s="204" t="s">
        <v>28</v>
      </c>
      <c r="C56" s="205" t="str">
        <f>IF(C41&gt;0,C41/SUM(C39:C41),"")</f>
        <v/>
      </c>
      <c r="D56" s="205" t="str">
        <f t="shared" ref="D56:L56" si="19">IF(D41&gt;0,D41/SUM(D39:D41),"")</f>
        <v/>
      </c>
      <c r="E56" s="205" t="str">
        <f t="shared" si="19"/>
        <v/>
      </c>
      <c r="F56" s="205" t="str">
        <f t="shared" si="19"/>
        <v/>
      </c>
      <c r="G56" s="205" t="str">
        <f t="shared" si="19"/>
        <v/>
      </c>
      <c r="H56" s="205" t="str">
        <f t="shared" si="19"/>
        <v/>
      </c>
      <c r="I56" s="205" t="str">
        <f t="shared" si="19"/>
        <v/>
      </c>
      <c r="J56" s="205" t="str">
        <f t="shared" si="19"/>
        <v/>
      </c>
      <c r="K56" s="205" t="str">
        <f t="shared" si="19"/>
        <v/>
      </c>
      <c r="L56" s="205" t="str">
        <f t="shared" si="19"/>
        <v/>
      </c>
      <c r="M56" s="213"/>
      <c r="N56" s="213"/>
      <c r="O56" s="213"/>
      <c r="P56" s="213"/>
      <c r="Q56" s="213"/>
      <c r="R56" s="213"/>
      <c r="S56" s="213"/>
      <c r="T56" s="213"/>
    </row>
    <row r="57" spans="1:21" x14ac:dyDescent="0.3">
      <c r="B57" s="126" t="s">
        <v>134</v>
      </c>
      <c r="C57" s="208">
        <f>SUM(C46:C48,C52)</f>
        <v>1</v>
      </c>
      <c r="D57" s="208">
        <f t="shared" ref="D57:L57" si="20">SUM(D46:D48,D52)</f>
        <v>1</v>
      </c>
      <c r="E57" s="208">
        <f t="shared" si="20"/>
        <v>1</v>
      </c>
      <c r="F57" s="208">
        <f t="shared" si="20"/>
        <v>1</v>
      </c>
      <c r="G57" s="208">
        <f t="shared" si="20"/>
        <v>1</v>
      </c>
      <c r="H57" s="208">
        <f t="shared" si="20"/>
        <v>1</v>
      </c>
      <c r="I57" s="208">
        <f t="shared" si="20"/>
        <v>0.99999999999999989</v>
      </c>
      <c r="J57" s="208">
        <f t="shared" si="20"/>
        <v>1</v>
      </c>
      <c r="K57" s="208">
        <f t="shared" si="20"/>
        <v>1</v>
      </c>
      <c r="L57" s="208">
        <f t="shared" si="20"/>
        <v>0.99999999999999978</v>
      </c>
      <c r="M57" s="213"/>
      <c r="N57" s="213"/>
      <c r="O57" s="213"/>
      <c r="P57" s="213"/>
      <c r="Q57" s="213"/>
      <c r="R57" s="213"/>
      <c r="S57" s="213"/>
      <c r="T57" s="213"/>
    </row>
    <row r="58" spans="1:21" x14ac:dyDescent="0.3">
      <c r="A58" s="35" t="s">
        <v>153</v>
      </c>
      <c r="B58" s="113"/>
      <c r="C58" s="112"/>
      <c r="D58" s="112"/>
      <c r="E58" s="112"/>
      <c r="F58" s="112"/>
      <c r="G58" s="112"/>
      <c r="H58" s="112"/>
      <c r="I58" s="112"/>
      <c r="J58" s="112"/>
      <c r="K58" s="112"/>
      <c r="L58" s="112"/>
      <c r="M58" s="219"/>
      <c r="N58" s="219"/>
      <c r="O58" s="219"/>
      <c r="P58" s="219"/>
      <c r="Q58" s="219"/>
      <c r="R58" s="219"/>
      <c r="S58" s="219"/>
      <c r="T58" s="219"/>
    </row>
    <row r="59" spans="1:21" ht="15" customHeight="1" x14ac:dyDescent="0.3">
      <c r="A59" s="22" t="s">
        <v>154</v>
      </c>
      <c r="B59" s="18" t="str">
        <f ca="1">INDIRECT(ADDRESS(HelpSheet!I9,HelpSheet!F31,1,1,"HelpSheet"))</f>
        <v>[EUR]</v>
      </c>
      <c r="C59" s="71">
        <v>6000000</v>
      </c>
      <c r="D59" s="71">
        <v>18000000</v>
      </c>
      <c r="E59" s="71">
        <v>15000000</v>
      </c>
      <c r="F59" s="71">
        <v>15000000</v>
      </c>
      <c r="G59" s="71">
        <v>12000000</v>
      </c>
      <c r="H59" s="71">
        <v>10000000</v>
      </c>
      <c r="I59" s="71">
        <v>10000000</v>
      </c>
      <c r="J59" s="71">
        <v>10000000</v>
      </c>
      <c r="K59" s="71">
        <v>10000000</v>
      </c>
      <c r="L59" s="164">
        <v>10000000</v>
      </c>
      <c r="M59" s="213" t="s">
        <v>155</v>
      </c>
      <c r="N59" s="213"/>
      <c r="O59" s="213"/>
      <c r="P59" s="213"/>
      <c r="Q59" s="213"/>
      <c r="R59" s="213"/>
      <c r="S59" s="213"/>
      <c r="T59" s="213"/>
      <c r="U59" s="48"/>
    </row>
    <row r="60" spans="1:21" x14ac:dyDescent="0.3">
      <c r="A60" s="7" t="s">
        <v>156</v>
      </c>
      <c r="B60" s="18" t="s">
        <v>28</v>
      </c>
      <c r="C60" s="124">
        <v>0</v>
      </c>
      <c r="D60" s="124">
        <v>0</v>
      </c>
      <c r="E60" s="124">
        <v>0</v>
      </c>
      <c r="F60" s="124">
        <v>0</v>
      </c>
      <c r="G60" s="124">
        <v>0</v>
      </c>
      <c r="H60" s="124">
        <v>0</v>
      </c>
      <c r="I60" s="124">
        <v>0</v>
      </c>
      <c r="J60" s="124">
        <v>0</v>
      </c>
      <c r="K60" s="124">
        <v>0</v>
      </c>
      <c r="L60" s="165">
        <v>0</v>
      </c>
      <c r="M60" s="213"/>
      <c r="N60" s="213"/>
      <c r="O60" s="213"/>
      <c r="P60" s="213"/>
      <c r="Q60" s="213"/>
      <c r="R60" s="213"/>
      <c r="S60" s="213"/>
      <c r="T60" s="213"/>
      <c r="U60" s="48"/>
    </row>
    <row r="61" spans="1:21" x14ac:dyDescent="0.3">
      <c r="A61" s="7" t="s">
        <v>157</v>
      </c>
      <c r="B61" s="18" t="str">
        <f ca="1">INDIRECT(ADDRESS(HelpSheet!I11,HelpSheet!F31,1,1,"HelpSheet"))</f>
        <v>[EUR]</v>
      </c>
      <c r="C61" s="42">
        <f>MIN('Boundary conditions'!$K3,C59)</f>
        <v>0</v>
      </c>
      <c r="D61" s="42">
        <f>MIN('Boundary conditions'!$K3,D59)</f>
        <v>0</v>
      </c>
      <c r="E61" s="42">
        <f>MIN('Boundary conditions'!$K3,E59)</f>
        <v>0</v>
      </c>
      <c r="F61" s="42">
        <f>MIN('Boundary conditions'!$K3,F59)*(1-F60)</f>
        <v>0</v>
      </c>
      <c r="G61" s="42">
        <f>MIN('Boundary conditions'!$K3,G59)*(1-G60)</f>
        <v>0</v>
      </c>
      <c r="H61" s="42">
        <f>MIN('Boundary conditions'!$K3,H59)*(1-H60)</f>
        <v>0</v>
      </c>
      <c r="I61" s="42">
        <f>MIN('Boundary conditions'!$K3,I59)*(1-I60)</f>
        <v>0</v>
      </c>
      <c r="J61" s="42">
        <f>MIN('Boundary conditions'!$K3,J59)*(1-J60)</f>
        <v>0</v>
      </c>
      <c r="K61" s="42">
        <f>MIN('Boundary conditions'!$K3,K59)*(1-K60)</f>
        <v>0</v>
      </c>
      <c r="L61" s="166">
        <f>MIN('Boundary conditions'!$K3,L59)*(1-L60)</f>
        <v>0</v>
      </c>
      <c r="M61" s="213"/>
      <c r="N61" s="213"/>
      <c r="O61" s="213"/>
      <c r="P61" s="213"/>
      <c r="Q61" s="213"/>
      <c r="R61" s="213"/>
      <c r="S61" s="213"/>
      <c r="T61" s="213"/>
      <c r="U61" s="48"/>
    </row>
    <row r="62" spans="1:21" x14ac:dyDescent="0.3">
      <c r="A62" s="7" t="s">
        <v>158</v>
      </c>
      <c r="B62" s="18" t="str">
        <f ca="1">INDIRECT(ADDRESS(HelpSheet!I10,HelpSheet!F31,1,1,"HelpSheet"))</f>
        <v>[EUR]</v>
      </c>
      <c r="C62" s="3">
        <f t="shared" ref="C62:L62" si="21">MAX(0,(C59*(1-C60)-C61))</f>
        <v>6000000</v>
      </c>
      <c r="D62" s="3">
        <f t="shared" si="21"/>
        <v>18000000</v>
      </c>
      <c r="E62" s="3">
        <f t="shared" si="21"/>
        <v>15000000</v>
      </c>
      <c r="F62" s="3">
        <f t="shared" si="21"/>
        <v>15000000</v>
      </c>
      <c r="G62" s="3">
        <f t="shared" si="21"/>
        <v>12000000</v>
      </c>
      <c r="H62" s="3">
        <f t="shared" si="21"/>
        <v>10000000</v>
      </c>
      <c r="I62" s="3">
        <f t="shared" si="21"/>
        <v>10000000</v>
      </c>
      <c r="J62" s="3">
        <f t="shared" si="21"/>
        <v>10000000</v>
      </c>
      <c r="K62" s="3">
        <f t="shared" si="21"/>
        <v>10000000</v>
      </c>
      <c r="L62" s="167">
        <f t="shared" si="21"/>
        <v>10000000</v>
      </c>
      <c r="M62" s="213"/>
      <c r="N62" s="213"/>
      <c r="O62" s="213"/>
      <c r="P62" s="213"/>
      <c r="Q62" s="213"/>
      <c r="R62" s="213"/>
      <c r="S62" s="213"/>
      <c r="T62" s="213"/>
      <c r="U62" s="48"/>
    </row>
    <row r="63" spans="1:21" x14ac:dyDescent="0.3">
      <c r="A63" s="7" t="s">
        <v>159</v>
      </c>
      <c r="B63" s="18" t="s">
        <v>121</v>
      </c>
      <c r="C63" s="72">
        <v>15</v>
      </c>
      <c r="D63" s="72">
        <v>15</v>
      </c>
      <c r="E63" s="72">
        <v>15</v>
      </c>
      <c r="F63" s="72">
        <v>15</v>
      </c>
      <c r="G63" s="72">
        <v>15</v>
      </c>
      <c r="H63" s="72">
        <v>15</v>
      </c>
      <c r="I63" s="72">
        <v>15</v>
      </c>
      <c r="J63" s="72">
        <v>15</v>
      </c>
      <c r="K63" s="72">
        <v>15</v>
      </c>
      <c r="L63" s="168">
        <v>15</v>
      </c>
      <c r="M63" s="213"/>
      <c r="N63" s="213"/>
      <c r="O63" s="213"/>
      <c r="P63" s="213"/>
      <c r="Q63" s="213"/>
      <c r="R63" s="213"/>
      <c r="S63" s="213"/>
      <c r="T63" s="213"/>
      <c r="U63" s="48"/>
    </row>
    <row r="64" spans="1:21" x14ac:dyDescent="0.3">
      <c r="A64" s="7" t="s">
        <v>160</v>
      </c>
      <c r="B64" s="7" t="str">
        <f ca="1">INDIRECT(ADDRESS(HelpSheet!I11,HelpSheet!F31,1,1,"HelpSheet"))</f>
        <v>[EUR]</v>
      </c>
      <c r="C64" s="3">
        <f>HelpSheet!D97</f>
        <v>404734.95166937937</v>
      </c>
      <c r="D64" s="3">
        <f>HelpSheet!E97</f>
        <v>1214204.8550081381</v>
      </c>
      <c r="E64" s="3">
        <f>HelpSheet!F97</f>
        <v>761837.37917344854</v>
      </c>
      <c r="F64" s="3">
        <f>HelpSheet!G97</f>
        <v>690408.80774487706</v>
      </c>
      <c r="G64" s="3">
        <f>HelpSheet!H97</f>
        <v>509469.90333875874</v>
      </c>
      <c r="H64" s="3">
        <f>HelpSheet!I97</f>
        <v>424558.25278229883</v>
      </c>
      <c r="I64" s="3">
        <f>HelpSheet!J97</f>
        <v>424558.25278229883</v>
      </c>
      <c r="J64" s="3">
        <f>HelpSheet!K97</f>
        <v>424558.25278229883</v>
      </c>
      <c r="K64" s="3">
        <f>HelpSheet!L97</f>
        <v>424558.25278229883</v>
      </c>
      <c r="L64" s="167">
        <f>HelpSheet!M97</f>
        <v>424558.25278229883</v>
      </c>
      <c r="M64" s="213"/>
      <c r="N64" s="213"/>
      <c r="O64" s="213"/>
      <c r="P64" s="213"/>
      <c r="Q64" s="213"/>
      <c r="R64" s="213"/>
      <c r="S64" s="213"/>
      <c r="T64" s="213"/>
      <c r="U64" s="48"/>
    </row>
    <row r="65" spans="1:21" x14ac:dyDescent="0.3">
      <c r="A65" s="34" t="s">
        <v>161</v>
      </c>
      <c r="B65" s="37"/>
      <c r="M65" s="213"/>
      <c r="N65" s="213"/>
      <c r="O65" s="213"/>
      <c r="P65" s="213"/>
      <c r="Q65" s="213"/>
      <c r="R65" s="213"/>
      <c r="S65" s="213"/>
      <c r="T65" s="213"/>
      <c r="U65" s="48"/>
    </row>
    <row r="66" spans="1:21" x14ac:dyDescent="0.3">
      <c r="A66" s="2" t="s">
        <v>162</v>
      </c>
      <c r="B66" s="7" t="str">
        <f ca="1">INDIRECT(ADDRESS(HelpSheet!I6,HelpSheet!F31,1,1,"HelpSheet"))</f>
        <v>[EUR/a]</v>
      </c>
      <c r="C66" s="70">
        <v>0</v>
      </c>
      <c r="D66" s="70">
        <v>0</v>
      </c>
      <c r="E66" s="70">
        <v>0</v>
      </c>
      <c r="F66" s="70">
        <v>0</v>
      </c>
      <c r="G66" s="70">
        <v>0</v>
      </c>
      <c r="H66" s="70">
        <v>0</v>
      </c>
      <c r="I66" s="70">
        <v>0</v>
      </c>
      <c r="J66" s="70">
        <v>0</v>
      </c>
      <c r="K66" s="70">
        <v>0</v>
      </c>
      <c r="L66" s="169">
        <v>0</v>
      </c>
      <c r="M66" s="213"/>
      <c r="N66" s="213"/>
      <c r="O66" s="213"/>
      <c r="P66" s="213"/>
      <c r="Q66" s="213"/>
      <c r="R66" s="213"/>
      <c r="S66" s="213"/>
      <c r="T66" s="213"/>
      <c r="U66" s="48"/>
    </row>
    <row r="67" spans="1:21" x14ac:dyDescent="0.3">
      <c r="A67" s="2" t="s">
        <v>163</v>
      </c>
      <c r="B67" s="7" t="str">
        <f ca="1">INDIRECT(ADDRESS(HelpSheet!I7,HelpSheet!F31,1,1,"HelpSheet"))</f>
        <v>[EUR/(MW.a)]</v>
      </c>
      <c r="C67" s="70">
        <v>0</v>
      </c>
      <c r="D67" s="70">
        <v>0</v>
      </c>
      <c r="E67" s="70">
        <v>0</v>
      </c>
      <c r="F67" s="70">
        <v>0</v>
      </c>
      <c r="G67" s="70">
        <v>0</v>
      </c>
      <c r="H67" s="70">
        <v>0</v>
      </c>
      <c r="I67" s="70">
        <v>0</v>
      </c>
      <c r="J67" s="70">
        <v>0</v>
      </c>
      <c r="K67" s="70">
        <v>0</v>
      </c>
      <c r="L67" s="169">
        <v>0</v>
      </c>
      <c r="M67" s="213"/>
      <c r="N67" s="213"/>
      <c r="O67" s="213"/>
      <c r="P67" s="213"/>
      <c r="Q67" s="213"/>
      <c r="R67" s="213"/>
      <c r="S67" s="213"/>
      <c r="T67" s="213"/>
      <c r="U67" s="48"/>
    </row>
    <row r="68" spans="1:21" x14ac:dyDescent="0.3">
      <c r="A68" s="2" t="s">
        <v>164</v>
      </c>
      <c r="B68" s="7" t="str">
        <f ca="1">INDIRECT(ADDRESS(HelpSheet!I8,HelpSheet!F31,1,1,"HelpSheet"))</f>
        <v>[EUR/MWh]</v>
      </c>
      <c r="C68" s="70">
        <v>0</v>
      </c>
      <c r="D68" s="70">
        <v>0</v>
      </c>
      <c r="E68" s="70">
        <v>0</v>
      </c>
      <c r="F68" s="70">
        <v>0</v>
      </c>
      <c r="G68" s="70">
        <v>0</v>
      </c>
      <c r="H68" s="70">
        <v>0</v>
      </c>
      <c r="I68" s="70">
        <v>0</v>
      </c>
      <c r="J68" s="70">
        <v>0</v>
      </c>
      <c r="K68" s="70">
        <v>0</v>
      </c>
      <c r="L68" s="169">
        <v>0</v>
      </c>
      <c r="M68" s="213"/>
      <c r="N68" s="213"/>
      <c r="O68" s="213"/>
      <c r="P68" s="213"/>
      <c r="Q68" s="213"/>
      <c r="R68" s="213"/>
      <c r="S68" s="213"/>
      <c r="T68" s="213"/>
      <c r="U68" s="48"/>
    </row>
    <row r="69" spans="1:21" x14ac:dyDescent="0.3">
      <c r="A69" s="2" t="s">
        <v>165</v>
      </c>
      <c r="B69" s="7" t="str">
        <f ca="1">INDIRECT(ADDRESS(HelpSheet!I8,HelpSheet!F31,1,1,"HelpSheet"))</f>
        <v>[EUR/MWh]</v>
      </c>
      <c r="C69" s="132">
        <f>(C82-C83)/C42-C68</f>
        <v>155.92419168595683</v>
      </c>
      <c r="D69" s="132">
        <f t="shared" ref="D69:L69" si="22">(D82-D83)/D42-D68</f>
        <v>87.009316430274637</v>
      </c>
      <c r="E69" s="132">
        <f t="shared" si="22"/>
        <v>57.200226751212249</v>
      </c>
      <c r="F69" s="132">
        <f t="shared" si="22"/>
        <v>55.021085834410485</v>
      </c>
      <c r="G69" s="132">
        <f t="shared" si="22"/>
        <v>399.02625291619563</v>
      </c>
      <c r="H69" s="132">
        <f t="shared" si="22"/>
        <v>126.33160013789826</v>
      </c>
      <c r="I69" s="132">
        <f t="shared" si="22"/>
        <v>90.676342986154367</v>
      </c>
      <c r="J69" s="132">
        <f t="shared" si="22"/>
        <v>70.39205378307247</v>
      </c>
      <c r="K69" s="132">
        <f t="shared" si="22"/>
        <v>84.706810912534081</v>
      </c>
      <c r="L69" s="132">
        <f t="shared" si="22"/>
        <v>293.20125326498595</v>
      </c>
      <c r="M69" s="213"/>
      <c r="N69" s="213"/>
      <c r="O69" s="213"/>
      <c r="P69" s="213"/>
      <c r="Q69" s="213"/>
      <c r="R69" s="213"/>
      <c r="S69" s="213"/>
      <c r="T69" s="213"/>
      <c r="U69" s="48"/>
    </row>
    <row r="70" spans="1:21" x14ac:dyDescent="0.3">
      <c r="A70" s="2" t="s">
        <v>166</v>
      </c>
      <c r="B70" s="7" t="str">
        <f ca="1">INDIRECT(ADDRESS(HelpSheet!I8,HelpSheet!F31,1,1,"HelpSheet"))</f>
        <v>[EUR/MWh]</v>
      </c>
      <c r="C70" s="132">
        <f>C69+C68</f>
        <v>155.92419168595683</v>
      </c>
      <c r="D70" s="132">
        <f>D69+D68</f>
        <v>87.009316430274637</v>
      </c>
      <c r="E70" s="132">
        <f t="shared" ref="E70:L70" si="23">E69+E68</f>
        <v>57.200226751212249</v>
      </c>
      <c r="F70" s="132">
        <f t="shared" si="23"/>
        <v>55.021085834410485</v>
      </c>
      <c r="G70" s="132">
        <f t="shared" si="23"/>
        <v>399.02625291619563</v>
      </c>
      <c r="H70" s="132">
        <f t="shared" si="23"/>
        <v>126.33160013789826</v>
      </c>
      <c r="I70" s="132">
        <f t="shared" si="23"/>
        <v>90.676342986154367</v>
      </c>
      <c r="J70" s="132">
        <f t="shared" si="23"/>
        <v>70.39205378307247</v>
      </c>
      <c r="K70" s="132">
        <f t="shared" si="23"/>
        <v>84.706810912534081</v>
      </c>
      <c r="L70" s="132">
        <f t="shared" si="23"/>
        <v>293.20125326498595</v>
      </c>
      <c r="M70" s="213"/>
      <c r="N70" s="213"/>
      <c r="O70" s="213"/>
      <c r="P70" s="213"/>
      <c r="Q70" s="213"/>
      <c r="R70" s="213"/>
      <c r="S70" s="213"/>
      <c r="T70" s="213"/>
      <c r="U70" s="48"/>
    </row>
    <row r="71" spans="1:21" x14ac:dyDescent="0.3">
      <c r="A71" s="7" t="s">
        <v>167</v>
      </c>
      <c r="B71" s="7" t="s">
        <v>43</v>
      </c>
      <c r="C71" s="19">
        <f>C73*1000/C42</f>
        <v>177.67538644470869</v>
      </c>
      <c r="D71" s="19">
        <f t="shared" ref="D71:L71" si="24">D73*1000/D42</f>
        <v>22.339768339768337</v>
      </c>
      <c r="E71" s="19">
        <f t="shared" si="24"/>
        <v>10.405415476338344</v>
      </c>
      <c r="F71" s="19">
        <f t="shared" si="24"/>
        <v>10</v>
      </c>
      <c r="G71" s="19">
        <f t="shared" si="24"/>
        <v>74</v>
      </c>
      <c r="H71" s="19">
        <f t="shared" si="24"/>
        <v>128.5</v>
      </c>
      <c r="I71" s="19">
        <f t="shared" si="24"/>
        <v>69.25</v>
      </c>
      <c r="J71" s="19">
        <f t="shared" si="24"/>
        <v>15.929499072356215</v>
      </c>
      <c r="K71" s="19">
        <f t="shared" si="24"/>
        <v>15.522842639593909</v>
      </c>
      <c r="L71" s="19">
        <f t="shared" si="24"/>
        <v>169.85937499999997</v>
      </c>
      <c r="M71" s="213"/>
      <c r="N71" s="213"/>
      <c r="O71" s="213"/>
      <c r="P71" s="213"/>
      <c r="Q71" s="213"/>
      <c r="R71" s="213"/>
      <c r="S71" s="213"/>
      <c r="T71" s="213"/>
      <c r="U71" s="48"/>
    </row>
    <row r="72" spans="1:21" x14ac:dyDescent="0.3">
      <c r="B72"/>
      <c r="O72" s="48"/>
      <c r="P72" s="48"/>
      <c r="Q72" s="48"/>
      <c r="R72" s="48"/>
      <c r="S72" s="48"/>
      <c r="T72" s="48"/>
      <c r="U72" s="48"/>
    </row>
    <row r="73" spans="1:21" x14ac:dyDescent="0.3">
      <c r="A73" s="2" t="s">
        <v>168</v>
      </c>
      <c r="B73" s="12" t="s">
        <v>169</v>
      </c>
      <c r="C73" s="162">
        <f>(C35*'Boundary conditions'!$D11+C36*'Boundary conditions'!$D23+'RES Alternatives'!C37*'Boundary conditions'!$D17+'RES Alternatives'!C38*'Boundary conditions'!$D47+'RES Alternatives'!C39*'Boundary conditions'!$D29+'RES Alternatives'!C40*'Boundary conditions'!$D35+'RES Alternatives'!C41*'Boundary conditions'!$D41)/1000</f>
        <v>5916.9727403156394</v>
      </c>
      <c r="D73" s="162">
        <f>(D35*'Boundary conditions'!$D11+D36*'Boundary conditions'!$D23+'RES Alternatives'!D37*'Boundary conditions'!$D17+'RES Alternatives'!D38*'Boundary conditions'!$D47+'RES Alternatives'!D39*'Boundary conditions'!$D29+'RES Alternatives'!D40*'Boundary conditions'!$D35+'RES Alternatives'!D41*'Boundary conditions'!$D41)/1000</f>
        <v>670.98151260504198</v>
      </c>
      <c r="E73" s="162">
        <f>(E35*'Boundary conditions'!$D11+E36*'Boundary conditions'!$D23+'RES Alternatives'!E37*'Boundary conditions'!$D17+'RES Alternatives'!E38*'Boundary conditions'!$D47+'RES Alternatives'!E39*'Boundary conditions'!$D29+'RES Alternatives'!E40*'Boundary conditions'!$D35+'RES Alternatives'!E41*'Boundary conditions'!$D41)/1000</f>
        <v>272.01910588235296</v>
      </c>
      <c r="F73" s="162">
        <f>(F35*'Boundary conditions'!$D11+F36*'Boundary conditions'!$D23+'RES Alternatives'!F37*'Boundary conditions'!$D17+'RES Alternatives'!F38*'Boundary conditions'!$D47+'RES Alternatives'!F39*'Boundary conditions'!$D29+'RES Alternatives'!F40*'Boundary conditions'!$D35+'RES Alternatives'!F41*'Boundary conditions'!$D41)/1000</f>
        <v>324.70588235294122</v>
      </c>
      <c r="G73" s="162">
        <f>(G35*'Boundary conditions'!$D11+G36*'Boundary conditions'!$D23+'RES Alternatives'!G37*'Boundary conditions'!$D17+'RES Alternatives'!G38*'Boundary conditions'!$D47+'RES Alternatives'!G39*'Boundary conditions'!$D29+'RES Alternatives'!G40*'Boundary conditions'!$D35+'RES Alternatives'!G41*'Boundary conditions'!$D41)/1000</f>
        <v>680.8</v>
      </c>
      <c r="H73" s="162">
        <f>(H35*'Boundary conditions'!$D11+H36*'Boundary conditions'!$D23+'RES Alternatives'!H37*'Boundary conditions'!$D17+'RES Alternatives'!H38*'Boundary conditions'!$D47+'RES Alternatives'!H39*'Boundary conditions'!$D29+'RES Alternatives'!H40*'Boundary conditions'!$D35+'RES Alternatives'!H41*'Boundary conditions'!$D41)/1000</f>
        <v>4172.4705882352946</v>
      </c>
      <c r="I73" s="162">
        <f>(I35*'Boundary conditions'!$D11+I36*'Boundary conditions'!$D23+'RES Alternatives'!I37*'Boundary conditions'!$D17+'RES Alternatives'!I38*'Boundary conditions'!$D47+'RES Alternatives'!I39*'Boundary conditions'!$D29+'RES Alternatives'!I40*'Boundary conditions'!$D35+'RES Alternatives'!I41*'Boundary conditions'!$D41)/1000</f>
        <v>2248.5882352941176</v>
      </c>
      <c r="J73" s="162">
        <f>(J35*'Boundary conditions'!$D11+J36*'Boundary conditions'!$D23+'RES Alternatives'!J37*'Boundary conditions'!$D17+'RES Alternatives'!J38*'Boundary conditions'!$D47+'RES Alternatives'!J39*'Boundary conditions'!$D29+'RES Alternatives'!J40*'Boundary conditions'!$D35+'RES Alternatives'!J41*'Boundary conditions'!$D41)/1000</f>
        <v>497.8436974789916</v>
      </c>
      <c r="K73" s="162">
        <f>(K35*'Boundary conditions'!$D11+K36*'Boundary conditions'!$D23+'RES Alternatives'!K37*'Boundary conditions'!$D17+'RES Alternatives'!K38*'Boundary conditions'!$D47+'RES Alternatives'!K39*'Boundary conditions'!$D29+'RES Alternatives'!K40*'Boundary conditions'!$D35+'RES Alternatives'!K41*'Boundary conditions'!$D41)/1000</f>
        <v>413.7294117647059</v>
      </c>
      <c r="L73" s="175">
        <f>(L35*'Boundary conditions'!$D11+L36*'Boundary conditions'!$D23+'RES Alternatives'!L37*'Boundary conditions'!$D17+'RES Alternatives'!L38*'Boundary conditions'!$D47+'RES Alternatives'!L39*'Boundary conditions'!$D29+'RES Alternatives'!L40*'Boundary conditions'!$D35+'RES Alternatives'!L41*'Boundary conditions'!$D41)/1000</f>
        <v>2353.2517647058826</v>
      </c>
      <c r="M73" s="182"/>
      <c r="N73" s="56"/>
      <c r="O73" s="56"/>
      <c r="P73" s="56"/>
      <c r="Q73" s="56"/>
      <c r="R73" s="56"/>
      <c r="S73" s="56"/>
      <c r="T73" s="56"/>
    </row>
    <row r="74" spans="1:21" x14ac:dyDescent="0.3">
      <c r="A74" s="2" t="s">
        <v>170</v>
      </c>
      <c r="B74" s="12" t="s">
        <v>169</v>
      </c>
      <c r="C74" s="162"/>
      <c r="D74" s="162">
        <f t="shared" ref="D74:L74" si="25">$C73-D73</f>
        <v>5245.9912277105977</v>
      </c>
      <c r="E74" s="162">
        <f t="shared" si="25"/>
        <v>5644.9536344332864</v>
      </c>
      <c r="F74" s="162">
        <f t="shared" si="25"/>
        <v>5592.2668579626979</v>
      </c>
      <c r="G74" s="162">
        <f t="shared" si="25"/>
        <v>5236.1727403156392</v>
      </c>
      <c r="H74" s="162">
        <f t="shared" si="25"/>
        <v>1744.5021520803448</v>
      </c>
      <c r="I74" s="162">
        <f t="shared" si="25"/>
        <v>3668.3845050215218</v>
      </c>
      <c r="J74" s="162">
        <f t="shared" si="25"/>
        <v>5419.1290428366474</v>
      </c>
      <c r="K74" s="162">
        <f t="shared" si="25"/>
        <v>5503.2433285509333</v>
      </c>
      <c r="L74" s="175">
        <f t="shared" si="25"/>
        <v>3563.7209756097568</v>
      </c>
      <c r="M74" s="182"/>
      <c r="N74" s="56"/>
      <c r="O74" s="56"/>
      <c r="P74" s="56"/>
      <c r="Q74" s="56"/>
      <c r="R74" s="56"/>
      <c r="S74" s="56"/>
      <c r="T74" s="56"/>
    </row>
    <row r="75" spans="1:21" x14ac:dyDescent="0.3">
      <c r="A75" s="2" t="s">
        <v>171</v>
      </c>
      <c r="B75" s="12" t="s">
        <v>169</v>
      </c>
      <c r="C75" s="162">
        <f>('RES Alternatives'!C37*'Boundary conditions'!$D17+'RES Alternatives'!C39*'Boundary conditions'!$D29+'RES Alternatives'!C40*'Boundary conditions'!$D35+'RES Alternatives'!C41*'Boundary conditions'!$D41)/1000</f>
        <v>5819.5609756097574</v>
      </c>
      <c r="D75" s="162">
        <f>('RES Alternatives'!D37*'Boundary conditions'!$D17+'RES Alternatives'!D39*'Boundary conditions'!$D29+'RES Alternatives'!D40*'Boundary conditions'!$D35+'RES Alternatives'!D41*'Boundary conditions'!$D41)/1000</f>
        <v>216.85714285714283</v>
      </c>
      <c r="E75" s="162">
        <f>('RES Alternatives'!E37*'Boundary conditions'!$D17+'RES Alternatives'!E39*'Boundary conditions'!$D29+'RES Alternatives'!E40*'Boundary conditions'!$D35+'RES Alternatives'!E41*'Boundary conditions'!$D41)/1000</f>
        <v>0</v>
      </c>
      <c r="F75" s="162">
        <f>('RES Alternatives'!F37*'Boundary conditions'!$D17+'RES Alternatives'!F39*'Boundary conditions'!$D29+'RES Alternatives'!F40*'Boundary conditions'!$D35+'RES Alternatives'!F41*'Boundary conditions'!$D41)/1000</f>
        <v>0</v>
      </c>
      <c r="G75" s="162">
        <f>('RES Alternatives'!G37*'Boundary conditions'!$D17+'RES Alternatives'!G39*'Boundary conditions'!$D29+'RES Alternatives'!G40*'Boundary conditions'!$D35+'RES Alternatives'!G41*'Boundary conditions'!$D41)/1000</f>
        <v>0</v>
      </c>
      <c r="H75" s="162">
        <f>('RES Alternatives'!H37*'Boundary conditions'!$D17+'RES Alternatives'!H39*'Boundary conditions'!$D29+'RES Alternatives'!H40*'Boundary conditions'!$D35+'RES Alternatives'!H41*'Boundary conditions'!$D41)/1000</f>
        <v>4010.1176470588234</v>
      </c>
      <c r="I75" s="162">
        <f>('RES Alternatives'!I37*'Boundary conditions'!$D17+'RES Alternatives'!I39*'Boundary conditions'!$D29+'RES Alternatives'!I40*'Boundary conditions'!$D35+'RES Alternatives'!I41*'Boundary conditions'!$D41)/1000</f>
        <v>2005.0588235294117</v>
      </c>
      <c r="J75" s="162">
        <f>('RES Alternatives'!J37*'Boundary conditions'!$D17+'RES Alternatives'!J39*'Boundary conditions'!$D29+'RES Alternatives'!J40*'Boundary conditions'!$D35+'RES Alternatives'!J41*'Boundary conditions'!$D41)/1000</f>
        <v>108.42857142857142</v>
      </c>
      <c r="K75" s="162">
        <f>('RES Alternatives'!K37*'Boundary conditions'!$D17+'RES Alternatives'!K39*'Boundary conditions'!$D29+'RES Alternatives'!K40*'Boundary conditions'!$D35+'RES Alternatives'!K41*'Boundary conditions'!$D41)/1000</f>
        <v>0</v>
      </c>
      <c r="L75" s="175">
        <f>('RES Alternatives'!L37*'Boundary conditions'!$D17+'RES Alternatives'!L39*'Boundary conditions'!$D29+'RES Alternatives'!L40*'Boundary conditions'!$D35+'RES Alternatives'!L41*'Boundary conditions'!$D41)/1000</f>
        <v>1808.6117647058825</v>
      </c>
      <c r="M75" s="182"/>
      <c r="N75" s="56"/>
      <c r="O75" s="56"/>
      <c r="P75" s="56"/>
      <c r="Q75" s="56"/>
      <c r="R75" s="56"/>
      <c r="S75" s="56"/>
      <c r="T75" s="56"/>
    </row>
    <row r="76" spans="1:21" ht="15" thickBot="1" x14ac:dyDescent="0.35">
      <c r="A76" s="183"/>
      <c r="B76" s="184"/>
      <c r="C76" s="185"/>
      <c r="D76" s="185"/>
      <c r="E76" s="185"/>
      <c r="F76" s="185"/>
      <c r="G76" s="185"/>
      <c r="H76" s="185"/>
      <c r="I76" s="185"/>
      <c r="J76" s="185"/>
      <c r="K76" s="185"/>
      <c r="L76" s="185"/>
      <c r="M76" s="56"/>
      <c r="N76" s="56"/>
      <c r="O76" s="56"/>
      <c r="P76" s="56"/>
      <c r="Q76" s="56"/>
      <c r="R76" s="56"/>
      <c r="S76" s="56"/>
      <c r="T76" s="56"/>
    </row>
    <row r="77" spans="1:21" ht="16.2" thickBot="1" x14ac:dyDescent="0.35">
      <c r="A77" s="156" t="s">
        <v>172</v>
      </c>
      <c r="B77" s="157">
        <v>0</v>
      </c>
      <c r="C77" s="161" t="str">
        <f ca="1">INDIRECT(ADDRESS(HelpSheet!B17,HelpSheet!F26,1,1,"HelpSheet"))</f>
        <v>[EUR/t]</v>
      </c>
      <c r="D77" s="235" t="s">
        <v>173</v>
      </c>
      <c r="E77" s="236"/>
      <c r="F77" s="236"/>
      <c r="G77" s="236"/>
      <c r="H77" s="236"/>
      <c r="I77" s="236"/>
      <c r="J77" s="236"/>
      <c r="K77" s="236"/>
      <c r="L77" s="237"/>
      <c r="O77" s="48"/>
      <c r="P77" s="48"/>
      <c r="Q77" s="48"/>
      <c r="R77" s="48"/>
      <c r="S77" s="48"/>
      <c r="T77" s="48"/>
      <c r="U77" s="48"/>
    </row>
    <row r="78" spans="1:21" x14ac:dyDescent="0.3">
      <c r="M78" s="48"/>
      <c r="N78" s="48"/>
      <c r="O78" s="48"/>
      <c r="P78" s="48"/>
      <c r="R78" s="48"/>
      <c r="S78" s="48"/>
      <c r="T78" s="48"/>
    </row>
    <row r="79" spans="1:21" x14ac:dyDescent="0.3">
      <c r="A79" s="245" t="s">
        <v>174</v>
      </c>
      <c r="B79" s="245"/>
      <c r="C79" s="245"/>
      <c r="D79" s="245"/>
      <c r="E79" s="245"/>
      <c r="F79" s="245"/>
      <c r="G79" s="245"/>
      <c r="H79" s="245"/>
      <c r="I79" s="245"/>
      <c r="J79" s="245"/>
      <c r="K79" s="245"/>
      <c r="L79" s="245"/>
      <c r="M79" s="48"/>
      <c r="N79" s="48"/>
      <c r="O79" s="48"/>
      <c r="P79" s="48"/>
      <c r="Q79" s="48"/>
      <c r="R79" s="48"/>
      <c r="S79" s="48"/>
      <c r="T79" s="48"/>
    </row>
    <row r="80" spans="1:21" ht="48" customHeight="1" x14ac:dyDescent="0.3">
      <c r="A80" s="104" t="s">
        <v>102</v>
      </c>
      <c r="B80" s="104" t="s">
        <v>24</v>
      </c>
      <c r="C80" s="105" t="str">
        <f t="shared" ref="C80:L80" si="26">C5</f>
        <v>DH system (reference)</v>
      </c>
      <c r="D80" s="105" t="str">
        <f t="shared" si="26"/>
        <v>Waste heat + Heat pump</v>
      </c>
      <c r="E80" s="105" t="str">
        <f t="shared" si="26"/>
        <v>Biomass boiler + Solar thermal</v>
      </c>
      <c r="F80" s="105" t="str">
        <f t="shared" si="26"/>
        <v>Biomass boiler (wood chips)</v>
      </c>
      <c r="G80" s="105" t="str">
        <f t="shared" si="26"/>
        <v>Ambient/Geothermal + heat pump</v>
      </c>
      <c r="H80" s="105" t="str">
        <f t="shared" si="26"/>
        <v>Custom 1</v>
      </c>
      <c r="I80" s="105" t="str">
        <f t="shared" si="26"/>
        <v>Custom 2</v>
      </c>
      <c r="J80" s="105" t="str">
        <f t="shared" si="26"/>
        <v>Custom 3</v>
      </c>
      <c r="K80" s="105" t="str">
        <f t="shared" si="26"/>
        <v>Custom 4</v>
      </c>
      <c r="L80" s="170" t="str">
        <f t="shared" si="26"/>
        <v>Custom 5</v>
      </c>
      <c r="M80" s="232" t="s">
        <v>175</v>
      </c>
      <c r="N80" s="233"/>
      <c r="O80" s="233"/>
      <c r="P80" s="233"/>
      <c r="Q80" s="233"/>
      <c r="R80" s="233"/>
      <c r="S80" s="233"/>
      <c r="T80" s="234"/>
    </row>
    <row r="81" spans="1:20" x14ac:dyDescent="0.3">
      <c r="A81" s="2" t="s">
        <v>176</v>
      </c>
      <c r="B81" s="12" t="str">
        <f ca="1">INDIRECT(ADDRESS(HelpSheet!I15,HelpSheet!F31,1,1,"HelpSheet"))</f>
        <v>[EUR/a]</v>
      </c>
      <c r="C81" s="36">
        <f>C66+C67*C8+C35*'Boundary conditions'!$D10+'RES Alternatives'!C36*'Boundary conditions'!$D22+C37*'Boundary conditions'!$D16+'RES Alternatives'!C38*'Boundary conditions'!$D46+'RES Alternatives'!C39*'Boundary conditions'!$D28+'RES Alternatives'!C40*'Boundary conditions'!$D34+'RES Alternatives'!C41*'Boundary conditions'!$D40+HelpSheet!D97+C75*'RES Alternatives'!$B$77</f>
        <v>5597346.0961998748</v>
      </c>
      <c r="D81" s="36">
        <f>D66+D67*D8+D35*'Boundary conditions'!$D10+'RES Alternatives'!D36*'Boundary conditions'!$D22+D37*'Boundary conditions'!$D16+'RES Alternatives'!D38*'Boundary conditions'!$D46+'RES Alternatives'!D39*'Boundary conditions'!$D28+'RES Alternatives'!D40*'Boundary conditions'!$D34+'RES Alternatives'!D41*'Boundary conditions'!$D40+HelpSheet!E97+D75*'RES Alternatives'!$B$77</f>
        <v>3827555.2649668576</v>
      </c>
      <c r="E81" s="36">
        <f>E66+E67*E8+E35*'Boundary conditions'!$D10+'RES Alternatives'!E36*'Boundary conditions'!$D22+E37*'Boundary conditions'!$D16+'RES Alternatives'!E38*'Boundary conditions'!$D46+'RES Alternatives'!E39*'Boundary conditions'!$D28+'RES Alternatives'!E40*'Boundary conditions'!$D34+'RES Alternatives'!E41*'Boundary conditions'!$D40+HelpSheet!F97+E75*'RES Alternatives'!$B$77</f>
        <v>2257169.7445667041</v>
      </c>
      <c r="F81" s="36">
        <f>F66+F67*F8+F35*'Boundary conditions'!$D10+'RES Alternatives'!F36*'Boundary conditions'!$D22+F37*'Boundary conditions'!$D16+'RES Alternatives'!F38*'Boundary conditions'!$D46+'RES Alternatives'!F39*'Boundary conditions'!$D28+'RES Alternatives'!F40*'Boundary conditions'!$D34+'RES Alternatives'!F41*'Boundary conditions'!$D40+HelpSheet!G97+F75*'RES Alternatives'!$B$77</f>
        <v>2476975.8301327941</v>
      </c>
      <c r="G81" s="36">
        <f>G66+G67*G8+G35*'Boundary conditions'!$D10+'RES Alternatives'!G36*'Boundary conditions'!$D22+G37*'Boundary conditions'!$D16+'RES Alternatives'!G38*'Boundary conditions'!$D46+'RES Alternatives'!G39*'Boundary conditions'!$D28+'RES Alternatives'!G40*'Boundary conditions'!$D34+'RES Alternatives'!G41*'Boundary conditions'!$D40+HelpSheet!H97+G75*'RES Alternatives'!$B$77</f>
        <v>4180511.4301677584</v>
      </c>
      <c r="H81" s="36">
        <f>H66+H67*H8+H35*'Boundary conditions'!$D10+'RES Alternatives'!H36*'Boundary conditions'!$D22+H37*'Boundary conditions'!$D16+'RES Alternatives'!H38*'Boundary conditions'!$D46+'RES Alternatives'!H39*'Boundary conditions'!$D28+'RES Alternatives'!H40*'Boundary conditions'!$D34+'RES Alternatives'!H41*'Boundary conditions'!$D40+HelpSheet!I97+H75*'RES Alternatives'!$B$77</f>
        <v>4526619.621965819</v>
      </c>
      <c r="I81" s="36">
        <f>I66+I67*I8+I35*'Boundary conditions'!$D10+'RES Alternatives'!I36*'Boundary conditions'!$D22+I37*'Boundary conditions'!$D16+'RES Alternatives'!I38*'Boundary conditions'!$D46+'RES Alternatives'!I39*'Boundary conditions'!$D28+'RES Alternatives'!I40*'Boundary conditions'!$D34+'RES Alternatives'!I41*'Boundary conditions'!$D40+HelpSheet!J97+I75*'RES Alternatives'!$B$77</f>
        <v>3368872.4485680172</v>
      </c>
      <c r="J81" s="36">
        <f>J66+J67*J8+J35*'Boundary conditions'!$D10+'RES Alternatives'!J36*'Boundary conditions'!$D22+J37*'Boundary conditions'!$D16+'RES Alternatives'!J38*'Boundary conditions'!$D46+'RES Alternatives'!J39*'Boundary conditions'!$D28+'RES Alternatives'!J40*'Boundary conditions'!$D34+'RES Alternatives'!J41*'Boundary conditions'!$D40+HelpSheet!K97+J75*'RES Alternatives'!$B$77</f>
        <v>2624516.9689556165</v>
      </c>
      <c r="K81" s="36">
        <f>K66+K67*K8+K35*'Boundary conditions'!$D10+'RES Alternatives'!K36*'Boundary conditions'!$D22+K37*'Boundary conditions'!$D16+'RES Alternatives'!K38*'Boundary conditions'!$D46+'RES Alternatives'!K39*'Boundary conditions'!$D28+'RES Alternatives'!K40*'Boundary conditions'!$D34+'RES Alternatives'!K41*'Boundary conditions'!$D40+HelpSheet!L97+K75*'RES Alternatives'!$B$77</f>
        <v>2682243.9012804865</v>
      </c>
      <c r="L81" s="171">
        <f>L66+L67*L8+L35*'Boundary conditions'!$D10+'RES Alternatives'!L36*'Boundary conditions'!$D22+L37*'Boundary conditions'!$D16+'RES Alternatives'!L38*'Boundary conditions'!$D46+'RES Alternatives'!L39*'Boundary conditions'!$D28+'RES Alternatives'!L40*'Boundary conditions'!$D34+'RES Alternatives'!L41*'Boundary conditions'!$D40+HelpSheet!M97+L75*'RES Alternatives'!$B$77</f>
        <v>4486602.9097805051</v>
      </c>
      <c r="M81" s="238"/>
      <c r="N81" s="239"/>
      <c r="O81" s="239"/>
      <c r="P81" s="239"/>
      <c r="Q81" s="239"/>
      <c r="R81" s="239"/>
      <c r="S81" s="239"/>
      <c r="T81" s="240"/>
    </row>
    <row r="82" spans="1:20" x14ac:dyDescent="0.3">
      <c r="A82" s="43" t="s">
        <v>177</v>
      </c>
      <c r="B82" s="12" t="str">
        <f ca="1">INDIRECT(ADDRESS(HelpSheet!I19,HelpSheet!F31,1,1,"HelpSheet"))</f>
        <v>[EUR/a]</v>
      </c>
      <c r="C82" s="36">
        <f>C35*'Boundary conditions'!$D10+'RES Alternatives'!C36*'Boundary conditions'!$D22+C37*'Boundary conditions'!$D16+'RES Alternatives'!C38*'Boundary conditions'!$D46+'RES Alternatives'!C39*'Boundary conditions'!$D28+'RES Alternatives'!C40*'Boundary conditions'!$D34+'RES Alternatives'!C41*'Boundary conditions'!$D40+C68*C42+C83</f>
        <v>5192611.1445304956</v>
      </c>
      <c r="D82" s="36">
        <f>D35*'Boundary conditions'!$D10+'RES Alternatives'!D36*'Boundary conditions'!$D22+D37*'Boundary conditions'!$D16+'RES Alternatives'!D38*'Boundary conditions'!$D46+'RES Alternatives'!D39*'Boundary conditions'!$D28+'RES Alternatives'!D40*'Boundary conditions'!$D34+'RES Alternatives'!D41*'Boundary conditions'!$D40+D68*D42+D83</f>
        <v>2613350.4099587193</v>
      </c>
      <c r="E82" s="36">
        <f>E35*'Boundary conditions'!$D10+'RES Alternatives'!E36*'Boundary conditions'!$D22+E37*'Boundary conditions'!$D16+'RES Alternatives'!E38*'Boundary conditions'!$D46+'RES Alternatives'!E39*'Boundary conditions'!$D28+'RES Alternatives'!E40*'Boundary conditions'!$D34+'RES Alternatives'!E41*'Boundary conditions'!$D40+E68*E42+E83</f>
        <v>1495332.3653932554</v>
      </c>
      <c r="F82" s="36">
        <f>F35*'Boundary conditions'!$D10+'RES Alternatives'!F36*'Boundary conditions'!$D22+F37*'Boundary conditions'!$D16+'RES Alternatives'!F38*'Boundary conditions'!$D46+'RES Alternatives'!F39*'Boundary conditions'!$D28+'RES Alternatives'!F40*'Boundary conditions'!$D34+'RES Alternatives'!F41*'Boundary conditions'!$D40+F68*F42+F83</f>
        <v>1786567.0223879169</v>
      </c>
      <c r="G82" s="36">
        <f>G35*'Boundary conditions'!$D10+'RES Alternatives'!G36*'Boundary conditions'!$D22+G37*'Boundary conditions'!$D16+'RES Alternatives'!G38*'Boundary conditions'!$D46+'RES Alternatives'!G39*'Boundary conditions'!$D28+'RES Alternatives'!G40*'Boundary conditions'!$D34+'RES Alternatives'!G41*'Boundary conditions'!$D40+G68*G42+G83</f>
        <v>3671041.5268289996</v>
      </c>
      <c r="H82" s="36">
        <f>H35*'Boundary conditions'!$D10+'RES Alternatives'!H36*'Boundary conditions'!$D22+H37*'Boundary conditions'!$D16+'RES Alternatives'!H38*'Boundary conditions'!$D46+'RES Alternatives'!H39*'Boundary conditions'!$D28+'RES Alternatives'!H40*'Boundary conditions'!$D34+'RES Alternatives'!H41*'Boundary conditions'!$D40+H68*H42+H83</f>
        <v>4102061.3691835203</v>
      </c>
      <c r="I82" s="36">
        <f>I35*'Boundary conditions'!$D10+'RES Alternatives'!I36*'Boundary conditions'!$D22+I37*'Boundary conditions'!$D16+'RES Alternatives'!I38*'Boundary conditions'!$D46+'RES Alternatives'!I39*'Boundary conditions'!$D28+'RES Alternatives'!I40*'Boundary conditions'!$D34+'RES Alternatives'!I41*'Boundary conditions'!$D40+I68*I42+I83</f>
        <v>2944314.1957857185</v>
      </c>
      <c r="J82" s="36">
        <f>J35*'Boundary conditions'!$D10+'RES Alternatives'!J36*'Boundary conditions'!$D22+J37*'Boundary conditions'!$D16+'RES Alternatives'!J38*'Boundary conditions'!$D46+'RES Alternatives'!J39*'Boundary conditions'!$D28+'RES Alternatives'!J40*'Boundary conditions'!$D34+'RES Alternatives'!J41*'Boundary conditions'!$D40+J68*J42+J83</f>
        <v>2199958.7161733177</v>
      </c>
      <c r="K82" s="36">
        <f>K35*'Boundary conditions'!$D10+'RES Alternatives'!K36*'Boundary conditions'!$D22+K37*'Boundary conditions'!$D16+'RES Alternatives'!K38*'Boundary conditions'!$D46+'RES Alternatives'!K39*'Boundary conditions'!$D28+'RES Alternatives'!K40*'Boundary conditions'!$D34+'RES Alternatives'!K41*'Boundary conditions'!$D40+K68*K42+K83</f>
        <v>2257685.6484981878</v>
      </c>
      <c r="L82" s="36">
        <f>L35*'Boundary conditions'!$D10+'RES Alternatives'!L36*'Boundary conditions'!$D22+L37*'Boundary conditions'!$D16+'RES Alternatives'!L38*'Boundary conditions'!$D46+'RES Alternatives'!L39*'Boundary conditions'!$D28+'RES Alternatives'!L40*'Boundary conditions'!$D34+'RES Alternatives'!L41*'Boundary conditions'!$D40+L68*L42+L83</f>
        <v>4062044.6569982059</v>
      </c>
      <c r="M82" s="238"/>
      <c r="N82" s="239"/>
      <c r="O82" s="239"/>
      <c r="P82" s="239"/>
      <c r="Q82" s="239"/>
      <c r="R82" s="239"/>
      <c r="S82" s="239"/>
      <c r="T82" s="240"/>
    </row>
    <row r="83" spans="1:20" ht="15.6" x14ac:dyDescent="0.35">
      <c r="A83" s="158" t="s">
        <v>178</v>
      </c>
      <c r="B83" s="12" t="str">
        <f ca="1">INDIRECT(ADDRESS(HelpSheet!I19,HelpSheet!F31,1,1,"HelpSheet"))</f>
        <v>[EUR/a]</v>
      </c>
      <c r="C83" s="36">
        <f>C75*'RES Alternatives'!$B$77</f>
        <v>0</v>
      </c>
      <c r="D83" s="36">
        <f>D75*'RES Alternatives'!$B$77</f>
        <v>0</v>
      </c>
      <c r="E83" s="36">
        <f>E75*'RES Alternatives'!$B$77</f>
        <v>0</v>
      </c>
      <c r="F83" s="36">
        <f>F75*'RES Alternatives'!$B$77</f>
        <v>0</v>
      </c>
      <c r="G83" s="36">
        <f>G75*'RES Alternatives'!$B$77</f>
        <v>0</v>
      </c>
      <c r="H83" s="36">
        <f>H75*'RES Alternatives'!$B$77</f>
        <v>0</v>
      </c>
      <c r="I83" s="36">
        <f>I75*'RES Alternatives'!$B$77</f>
        <v>0</v>
      </c>
      <c r="J83" s="36">
        <f>J75*'RES Alternatives'!$B$77</f>
        <v>0</v>
      </c>
      <c r="K83" s="36">
        <f>K75*'RES Alternatives'!$B$77</f>
        <v>0</v>
      </c>
      <c r="L83" s="36">
        <f>L75*'RES Alternatives'!$B$77</f>
        <v>0</v>
      </c>
      <c r="M83" s="238"/>
      <c r="N83" s="239"/>
      <c r="O83" s="239"/>
      <c r="P83" s="239"/>
      <c r="Q83" s="239"/>
      <c r="R83" s="239"/>
      <c r="S83" s="239"/>
      <c r="T83" s="240"/>
    </row>
    <row r="84" spans="1:20" x14ac:dyDescent="0.3">
      <c r="A84" s="43" t="s">
        <v>162</v>
      </c>
      <c r="B84" s="12" t="str">
        <f ca="1">INDIRECT(ADDRESS(HelpSheet!I18,HelpSheet!F31,1,1,"HelpSheet"))</f>
        <v>[EUR/a]</v>
      </c>
      <c r="C84" s="36">
        <f>C66+C67*C8+HelpSheet!D97</f>
        <v>404734.95166937937</v>
      </c>
      <c r="D84" s="36">
        <f>D66+D67*D8+HelpSheet!E97</f>
        <v>1214204.8550081381</v>
      </c>
      <c r="E84" s="36">
        <f>E66+E67*E8+HelpSheet!F97</f>
        <v>761837.37917344854</v>
      </c>
      <c r="F84" s="36">
        <f>F66+F67*F8+HelpSheet!G97</f>
        <v>690408.80774487706</v>
      </c>
      <c r="G84" s="36">
        <f>G66+G67*G8+HelpSheet!H97</f>
        <v>509469.90333875874</v>
      </c>
      <c r="H84" s="36">
        <f>H66+H67*H8+HelpSheet!I97</f>
        <v>424558.25278229883</v>
      </c>
      <c r="I84" s="36">
        <f>I66+I67*I8+HelpSheet!J97</f>
        <v>424558.25278229883</v>
      </c>
      <c r="J84" s="36">
        <f>J66+J67*J8+HelpSheet!K97</f>
        <v>424558.25278229883</v>
      </c>
      <c r="K84" s="36">
        <f>K66+K67*K8+HelpSheet!L97</f>
        <v>424558.25278229883</v>
      </c>
      <c r="L84" s="171">
        <f>L66+L67*L8+HelpSheet!M97</f>
        <v>424558.25278229883</v>
      </c>
      <c r="M84" s="238"/>
      <c r="N84" s="239"/>
      <c r="O84" s="239"/>
      <c r="P84" s="239"/>
      <c r="Q84" s="239"/>
      <c r="R84" s="239"/>
      <c r="S84" s="239"/>
      <c r="T84" s="240"/>
    </row>
    <row r="85" spans="1:20" x14ac:dyDescent="0.3">
      <c r="A85" s="158" t="s">
        <v>179</v>
      </c>
      <c r="B85" s="12" t="str">
        <f ca="1">INDIRECT(ADDRESS(HelpSheet!I16,HelpSheet!F31,1,1,"HelpSheet"))</f>
        <v>[EUR/a]</v>
      </c>
      <c r="C85" s="36">
        <f>HelpSheet!D97</f>
        <v>404734.95166937937</v>
      </c>
      <c r="D85" s="36">
        <f>HelpSheet!E97</f>
        <v>1214204.8550081381</v>
      </c>
      <c r="E85" s="36">
        <f>HelpSheet!F97</f>
        <v>761837.37917344854</v>
      </c>
      <c r="F85" s="36">
        <f>HelpSheet!G97</f>
        <v>690408.80774487706</v>
      </c>
      <c r="G85" s="36">
        <f>HelpSheet!H97</f>
        <v>509469.90333875874</v>
      </c>
      <c r="H85" s="36">
        <f>HelpSheet!I97</f>
        <v>424558.25278229883</v>
      </c>
      <c r="I85" s="36">
        <f>HelpSheet!J97</f>
        <v>424558.25278229883</v>
      </c>
      <c r="J85" s="36">
        <f>HelpSheet!K97</f>
        <v>424558.25278229883</v>
      </c>
      <c r="K85" s="36">
        <f>HelpSheet!L97</f>
        <v>424558.25278229883</v>
      </c>
      <c r="L85" s="171">
        <f>HelpSheet!M97</f>
        <v>424558.25278229883</v>
      </c>
      <c r="M85" s="238"/>
      <c r="N85" s="239"/>
      <c r="O85" s="239"/>
      <c r="P85" s="239"/>
      <c r="Q85" s="239"/>
      <c r="R85" s="239"/>
      <c r="S85" s="239"/>
      <c r="T85" s="240"/>
    </row>
    <row r="86" spans="1:20" x14ac:dyDescent="0.3">
      <c r="A86" s="7" t="s">
        <v>180</v>
      </c>
      <c r="B86" s="12" t="s">
        <v>28</v>
      </c>
      <c r="C86" s="38">
        <f t="shared" ref="C86:L86" si="27">C84/C81</f>
        <v>7.2308366270965485E-2</v>
      </c>
      <c r="D86" s="38">
        <f t="shared" si="27"/>
        <v>0.31722725629113857</v>
      </c>
      <c r="E86" s="38">
        <f t="shared" si="27"/>
        <v>0.33751886893189509</v>
      </c>
      <c r="F86" s="38">
        <f t="shared" si="27"/>
        <v>0.27873053880701909</v>
      </c>
      <c r="G86" s="38">
        <f t="shared" si="27"/>
        <v>0.12186784125556485</v>
      </c>
      <c r="H86" s="38">
        <f t="shared" si="27"/>
        <v>9.3791457696620381E-2</v>
      </c>
      <c r="I86" s="38">
        <f t="shared" si="27"/>
        <v>0.12602384307033138</v>
      </c>
      <c r="J86" s="38">
        <f t="shared" si="27"/>
        <v>0.16176624415244106</v>
      </c>
      <c r="K86" s="38">
        <f t="shared" si="27"/>
        <v>0.15828473040039998</v>
      </c>
      <c r="L86" s="172">
        <f t="shared" si="27"/>
        <v>9.4627998358577534E-2</v>
      </c>
      <c r="M86" s="238"/>
      <c r="N86" s="239"/>
      <c r="O86" s="239"/>
      <c r="P86" s="239"/>
      <c r="Q86" s="239"/>
      <c r="R86" s="239"/>
      <c r="S86" s="239"/>
      <c r="T86" s="240"/>
    </row>
    <row r="87" spans="1:20" x14ac:dyDescent="0.3">
      <c r="A87" s="7" t="s">
        <v>181</v>
      </c>
      <c r="B87" s="12" t="s">
        <v>28</v>
      </c>
      <c r="C87" s="39">
        <f t="shared" ref="C87:L87" si="28">C82/C81</f>
        <v>0.92769163372903451</v>
      </c>
      <c r="D87" s="39">
        <f t="shared" si="28"/>
        <v>0.68277274370886143</v>
      </c>
      <c r="E87" s="39">
        <f t="shared" si="28"/>
        <v>0.6624811310681048</v>
      </c>
      <c r="F87" s="39">
        <f t="shared" si="28"/>
        <v>0.72126946119298085</v>
      </c>
      <c r="G87" s="39">
        <f t="shared" si="28"/>
        <v>0.87813215874443518</v>
      </c>
      <c r="H87" s="39">
        <f t="shared" si="28"/>
        <v>0.90620854230337966</v>
      </c>
      <c r="I87" s="39">
        <f t="shared" si="28"/>
        <v>0.87397615692966868</v>
      </c>
      <c r="J87" s="39">
        <f t="shared" si="28"/>
        <v>0.83823375584755899</v>
      </c>
      <c r="K87" s="39">
        <f t="shared" si="28"/>
        <v>0.84171526959960008</v>
      </c>
      <c r="L87" s="173">
        <f t="shared" si="28"/>
        <v>0.9053720016414224</v>
      </c>
      <c r="M87" s="238"/>
      <c r="N87" s="239"/>
      <c r="O87" s="239"/>
      <c r="P87" s="239"/>
      <c r="Q87" s="239"/>
      <c r="R87" s="239"/>
      <c r="S87" s="239"/>
      <c r="T87" s="240"/>
    </row>
    <row r="88" spans="1:20" ht="15" customHeight="1" x14ac:dyDescent="0.3">
      <c r="A88" s="186" t="s">
        <v>182</v>
      </c>
      <c r="B88" s="176" t="str">
        <f ca="1">INDIRECT(ADDRESS(HelpSheet!I20,HelpSheet!F31,1,1,"HelpSheet"))</f>
        <v>[EUR/MWh]</v>
      </c>
      <c r="C88" s="187">
        <f t="shared" ref="C88:L88" si="29">C81/C7</f>
        <v>202.80239478985052</v>
      </c>
      <c r="D88" s="187">
        <f t="shared" si="29"/>
        <v>138.67953858575572</v>
      </c>
      <c r="E88" s="187">
        <f t="shared" si="29"/>
        <v>81.781512484300876</v>
      </c>
      <c r="F88" s="187">
        <f t="shared" si="29"/>
        <v>89.745501091767906</v>
      </c>
      <c r="G88" s="187">
        <f t="shared" si="29"/>
        <v>151.46780544086081</v>
      </c>
      <c r="H88" s="187">
        <f t="shared" si="29"/>
        <v>164.00795731760215</v>
      </c>
      <c r="I88" s="187">
        <f t="shared" si="29"/>
        <v>122.06059596260933</v>
      </c>
      <c r="J88" s="187">
        <f t="shared" si="29"/>
        <v>95.091194527377411</v>
      </c>
      <c r="K88" s="187">
        <f t="shared" si="29"/>
        <v>97.182750046394432</v>
      </c>
      <c r="L88" s="188">
        <f t="shared" si="29"/>
        <v>162.55807644132264</v>
      </c>
      <c r="M88" s="238"/>
      <c r="N88" s="239"/>
      <c r="O88" s="239"/>
      <c r="P88" s="239"/>
      <c r="Q88" s="239"/>
      <c r="R88" s="239"/>
      <c r="S88" s="239"/>
      <c r="T88" s="240"/>
    </row>
    <row r="89" spans="1:20" x14ac:dyDescent="0.3">
      <c r="A89" s="2" t="s">
        <v>180</v>
      </c>
      <c r="B89" s="12" t="str">
        <f ca="1">INDIRECT(ADDRESS(HelpSheet!I20,HelpSheet!F31,1,1,"HelpSheet"))</f>
        <v>[EUR/MWh]</v>
      </c>
      <c r="C89" s="106">
        <f t="shared" ref="C89:L89" si="30">C84/C7</f>
        <v>14.664309843093456</v>
      </c>
      <c r="D89" s="106">
        <f t="shared" si="30"/>
        <v>43.992929529280367</v>
      </c>
      <c r="E89" s="106">
        <f t="shared" si="30"/>
        <v>27.602803593240889</v>
      </c>
      <c r="F89" s="106">
        <f t="shared" si="30"/>
        <v>25.014811874814388</v>
      </c>
      <c r="G89" s="106">
        <f t="shared" si="30"/>
        <v>18.459054468795607</v>
      </c>
      <c r="H89" s="106">
        <f t="shared" si="30"/>
        <v>15.382545390663001</v>
      </c>
      <c r="I89" s="106">
        <f t="shared" si="30"/>
        <v>15.382545390663001</v>
      </c>
      <c r="J89" s="106">
        <f t="shared" si="30"/>
        <v>15.382545390663001</v>
      </c>
      <c r="K89" s="106">
        <f t="shared" si="30"/>
        <v>15.382545390663001</v>
      </c>
      <c r="L89" s="174">
        <f t="shared" si="30"/>
        <v>15.382545390663001</v>
      </c>
      <c r="M89" s="238"/>
      <c r="N89" s="239"/>
      <c r="O89" s="239"/>
      <c r="P89" s="239"/>
      <c r="Q89" s="239"/>
      <c r="R89" s="239"/>
      <c r="S89" s="239"/>
      <c r="T89" s="240"/>
    </row>
    <row r="90" spans="1:20" x14ac:dyDescent="0.3">
      <c r="A90" s="2" t="s">
        <v>181</v>
      </c>
      <c r="B90" s="12" t="str">
        <f ca="1">INDIRECT(ADDRESS(HelpSheet!I20,HelpSheet!F31,1,1,"HelpSheet"))</f>
        <v>[EUR/MWh]</v>
      </c>
      <c r="C90" s="106">
        <f t="shared" ref="C90:L90" si="31">C82/C7</f>
        <v>188.13808494675709</v>
      </c>
      <c r="D90" s="106">
        <f t="shared" si="31"/>
        <v>94.686609056475334</v>
      </c>
      <c r="E90" s="106">
        <f t="shared" si="31"/>
        <v>54.178708891059976</v>
      </c>
      <c r="F90" s="106">
        <f t="shared" si="31"/>
        <v>64.730689216953508</v>
      </c>
      <c r="G90" s="106">
        <f t="shared" si="31"/>
        <v>133.0087509720652</v>
      </c>
      <c r="H90" s="106">
        <f t="shared" si="31"/>
        <v>148.62541192693914</v>
      </c>
      <c r="I90" s="106">
        <f t="shared" si="31"/>
        <v>106.67805057194633</v>
      </c>
      <c r="J90" s="106">
        <f t="shared" si="31"/>
        <v>79.708649136714413</v>
      </c>
      <c r="K90" s="106">
        <f t="shared" si="31"/>
        <v>81.800204655731434</v>
      </c>
      <c r="L90" s="174">
        <f t="shared" si="31"/>
        <v>147.17553105065963</v>
      </c>
      <c r="M90" s="241"/>
      <c r="N90" s="242"/>
      <c r="O90" s="242"/>
      <c r="P90" s="242"/>
      <c r="Q90" s="242"/>
      <c r="R90" s="242"/>
      <c r="S90" s="242"/>
      <c r="T90" s="243"/>
    </row>
    <row r="91" spans="1:20" x14ac:dyDescent="0.3">
      <c r="M91" s="181"/>
      <c r="N91" s="181"/>
      <c r="O91" s="181"/>
      <c r="P91" s="181"/>
      <c r="Q91" s="181"/>
      <c r="R91" s="181"/>
      <c r="S91" s="181"/>
      <c r="T91" s="181"/>
    </row>
    <row r="93" spans="1:20" x14ac:dyDescent="0.3">
      <c r="C93" s="11"/>
      <c r="D93" s="11"/>
      <c r="E93" s="11"/>
      <c r="F93" s="11"/>
      <c r="G93" s="11"/>
      <c r="H93" s="11"/>
      <c r="I93" s="11"/>
      <c r="J93" s="11"/>
      <c r="K93" s="11"/>
      <c r="L93" s="11"/>
    </row>
    <row r="140" spans="1:13" x14ac:dyDescent="0.3">
      <c r="A140" s="46" t="s">
        <v>65</v>
      </c>
      <c r="B140" s="47" t="s">
        <v>66</v>
      </c>
      <c r="C140" s="47"/>
      <c r="D140" s="47"/>
      <c r="E140" s="47"/>
      <c r="F140" s="47"/>
      <c r="G140" s="47"/>
      <c r="H140" s="47"/>
      <c r="I140" s="47"/>
      <c r="J140" s="47"/>
      <c r="K140" s="47"/>
      <c r="L140" s="47"/>
      <c r="M140" s="47"/>
    </row>
    <row r="141" spans="1:13" x14ac:dyDescent="0.3">
      <c r="A141" s="8" t="s">
        <v>67</v>
      </c>
      <c r="B141" s="140" t="s">
        <v>183</v>
      </c>
    </row>
    <row r="142" spans="1:13" x14ac:dyDescent="0.3">
      <c r="A142" s="8" t="s">
        <v>69</v>
      </c>
      <c r="B142" s="140" t="s">
        <v>184</v>
      </c>
    </row>
    <row r="143" spans="1:13" x14ac:dyDescent="0.3">
      <c r="A143" s="8" t="s">
        <v>71</v>
      </c>
      <c r="B143" s="140" t="s">
        <v>185</v>
      </c>
    </row>
    <row r="144" spans="1:13" x14ac:dyDescent="0.3">
      <c r="A144" s="8" t="s">
        <v>73</v>
      </c>
      <c r="B144" s="140" t="s">
        <v>186</v>
      </c>
    </row>
    <row r="145" spans="1:2" x14ac:dyDescent="0.3">
      <c r="A145" s="8" t="s">
        <v>75</v>
      </c>
      <c r="B145" s="140" t="s">
        <v>187</v>
      </c>
    </row>
    <row r="146" spans="1:2" x14ac:dyDescent="0.3">
      <c r="A146" s="8"/>
      <c r="B146" s="37"/>
    </row>
    <row r="147" spans="1:2" x14ac:dyDescent="0.3">
      <c r="A147" s="8"/>
      <c r="B147" s="37"/>
    </row>
  </sheetData>
  <sheetProtection sheet="1" scenarios="1"/>
  <mergeCells count="32">
    <mergeCell ref="M80:T80"/>
    <mergeCell ref="D77:L77"/>
    <mergeCell ref="M81:T90"/>
    <mergeCell ref="A1:E1"/>
    <mergeCell ref="A2:E2"/>
    <mergeCell ref="A79:L79"/>
    <mergeCell ref="M33:T34"/>
    <mergeCell ref="M44:T45"/>
    <mergeCell ref="M3:T4"/>
    <mergeCell ref="M46:T57"/>
    <mergeCell ref="M10:T10"/>
    <mergeCell ref="M22:T22"/>
    <mergeCell ref="L5:L6"/>
    <mergeCell ref="M5:T9"/>
    <mergeCell ref="M11:T21"/>
    <mergeCell ref="M23:T32"/>
    <mergeCell ref="M35:T43"/>
    <mergeCell ref="M58:T58"/>
    <mergeCell ref="M59:T71"/>
    <mergeCell ref="A5:A6"/>
    <mergeCell ref="A3:A4"/>
    <mergeCell ref="E5:E6"/>
    <mergeCell ref="F5:F6"/>
    <mergeCell ref="G5:G6"/>
    <mergeCell ref="C5:C6"/>
    <mergeCell ref="D5:D6"/>
    <mergeCell ref="C3:L4"/>
    <mergeCell ref="B3:B6"/>
    <mergeCell ref="H5:H6"/>
    <mergeCell ref="I5:I6"/>
    <mergeCell ref="J5:J6"/>
    <mergeCell ref="K5:K6"/>
  </mergeCells>
  <conditionalFormatting sqref="C9:L9">
    <cfRule type="expression" dxfId="3" priority="5">
      <formula>C$9&lt;10</formula>
    </cfRule>
  </conditionalFormatting>
  <conditionalFormatting sqref="C21:L21">
    <cfRule type="expression" dxfId="2" priority="2">
      <formula>C21&lt;1</formula>
    </cfRule>
  </conditionalFormatting>
  <conditionalFormatting sqref="C23:L32">
    <cfRule type="expression" dxfId="1" priority="3">
      <formula>C11=""</formula>
    </cfRule>
    <cfRule type="expression" dxfId="0" priority="4">
      <formula>C11&gt;0</formula>
    </cfRule>
  </conditionalFormatting>
  <conditionalFormatting sqref="C81:L81">
    <cfRule type="colorScale" priority="9">
      <colorScale>
        <cfvo type="min"/>
        <cfvo type="percentile" val="50"/>
        <cfvo type="max"/>
        <color rgb="FF63BE7B"/>
        <color rgb="FFFFEB84"/>
        <color rgb="FFF8696B"/>
      </colorScale>
    </cfRule>
  </conditionalFormatting>
  <conditionalFormatting sqref="C82:L82">
    <cfRule type="colorScale" priority="10">
      <colorScale>
        <cfvo type="min"/>
        <cfvo type="percentile" val="50"/>
        <cfvo type="max"/>
        <color rgb="FF63BE7B"/>
        <color rgb="FFFFEB84"/>
        <color rgb="FFF8696B"/>
      </colorScale>
    </cfRule>
  </conditionalFormatting>
  <conditionalFormatting sqref="C84:L84">
    <cfRule type="colorScale" priority="11">
      <colorScale>
        <cfvo type="min"/>
        <cfvo type="percentile" val="50"/>
        <cfvo type="max"/>
        <color rgb="FF63BE7B"/>
        <color rgb="FFFFEB84"/>
        <color rgb="FFF8696B"/>
      </colorScale>
    </cfRule>
  </conditionalFormatting>
  <conditionalFormatting sqref="C88:L88">
    <cfRule type="colorScale" priority="1">
      <colorScale>
        <cfvo type="min"/>
        <cfvo type="percentile" val="50"/>
        <cfvo type="max"/>
        <color rgb="FF63BE7B"/>
        <color rgb="FFFFEB84"/>
        <color rgb="FFF8696B"/>
      </colorScale>
    </cfRule>
  </conditionalFormatting>
  <dataValidations count="3">
    <dataValidation type="whole" operator="greaterThan" allowBlank="1" showInputMessage="1" showErrorMessage="1" error="Installation lifetime should be higher than loan period!" sqref="C22:L22 C10:L10" xr:uid="{42C48D14-71A2-4C44-8AF4-9AA708AEA1A5}">
      <formula1>#REF!</formula1>
    </dataValidation>
    <dataValidation type="whole" errorStyle="warning" operator="lessThanOrEqual" allowBlank="1" showInputMessage="1" showErrorMessage="1" error="Loan period should be smaller or equal than installation lifetime." sqref="C63" xr:uid="{A5EC51EE-6D4E-49AF-981A-7A1F88A0A012}">
      <formula1>C9</formula1>
    </dataValidation>
    <dataValidation type="whole" operator="greaterThan" allowBlank="1" showInputMessage="1" showErrorMessage="1" error="Installation lifetime should be higher than loan period!" sqref="C9:L9" xr:uid="{569EDADD-204B-4C70-A9E5-09C6EE77823B}">
      <formula1>C63</formula1>
    </dataValidation>
  </dataValidations>
  <hyperlinks>
    <hyperlink ref="B141" r:id="rId1" xr:uid="{73237C29-4BDD-4529-86A9-88FD6EE7264D}"/>
    <hyperlink ref="B142" r:id="rId2" xr:uid="{34F9F18C-345E-4EC3-84F5-2A65F321DF99}"/>
    <hyperlink ref="B145" r:id="rId3" xr:uid="{6AFADB9E-3AC1-446B-A675-27CA6EA8D75C}"/>
    <hyperlink ref="B143" r:id="rId4" xr:uid="{B4A2B5D7-C545-41B0-B480-D8AEE7626D6F}"/>
    <hyperlink ref="B144" r:id="rId5" xr:uid="{0865AABC-B3E3-4A7F-A17D-9AB88B1C56D4}"/>
  </hyperlinks>
  <pageMargins left="0.7" right="0.7" top="0.78740157499999996" bottom="0.78740157499999996" header="0.3" footer="0.3"/>
  <pageSetup paperSize="9" orientation="portrait" horizontalDpi="4294967292" verticalDpi="1200" r:id="rId6"/>
  <ignoredErrors>
    <ignoredError sqref="C35:L41 C49:L49 D47:L47 C53:L53 C43:L43" unlockedFormula="1"/>
  </ignoredErrors>
  <drawing r:id="rId7"/>
  <extLst>
    <ext xmlns:x14="http://schemas.microsoft.com/office/spreadsheetml/2009/9/main" uri="{CCE6A557-97BC-4b89-ADB6-D9C93CAAB3DF}">
      <x14:dataValidations xmlns:xm="http://schemas.microsoft.com/office/excel/2006/main" count="2">
        <x14:dataValidation type="whole" operator="lessThanOrEqual" allowBlank="1" showInputMessage="1" showErrorMessage="1" xr:uid="{12C4B8C3-85DD-4AB9-9D8F-98E23DED887A}">
          <x14:formula1>
            <xm:f>'Boundary conditions'!$K$3</xm:f>
          </x14:formula1>
          <xm:sqref>C61:L61</xm:sqref>
        </x14:dataValidation>
        <x14:dataValidation type="custom" allowBlank="1" showInputMessage="1" showErrorMessage="1" errorTitle="This amount is too low!" error="The amount of invest to be financed have to be equal or higher than the difference between the total investment and the available capital (= max Equity) defined in the sheet &quot;Starting point&quot;. " xr:uid="{F39A35EC-A9F0-4C9F-9950-C8274E0D8FB9}">
          <x14:formula1>
            <xm:f>C62&gt;=C59*(1-C60)-'Boundary conditions'!#REF!</xm:f>
          </x14:formula1>
          <xm:sqref>C62:L62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2:AA131"/>
  <sheetViews>
    <sheetView workbookViewId="0">
      <selection activeCell="B2" sqref="B2"/>
    </sheetView>
  </sheetViews>
  <sheetFormatPr baseColWidth="10" defaultColWidth="11.44140625" defaultRowHeight="14.4" x14ac:dyDescent="0.3"/>
  <cols>
    <col min="1" max="1" width="17.33203125" bestFit="1" customWidth="1"/>
    <col min="2" max="2" width="54.6640625" customWidth="1"/>
    <col min="3" max="3" width="46.88671875" customWidth="1"/>
    <col min="4" max="4" width="27.109375" bestFit="1" customWidth="1"/>
    <col min="5" max="5" width="29.5546875" bestFit="1" customWidth="1"/>
    <col min="6" max="6" width="21.44140625" bestFit="1" customWidth="1"/>
    <col min="7" max="7" width="29.6640625" bestFit="1" customWidth="1"/>
    <col min="8" max="8" width="33.44140625" bestFit="1" customWidth="1"/>
    <col min="9" max="9" width="11.6640625" bestFit="1" customWidth="1"/>
    <col min="10" max="10" width="13.33203125" bestFit="1" customWidth="1"/>
    <col min="11" max="11" width="13.44140625" bestFit="1" customWidth="1"/>
    <col min="12" max="12" width="13.33203125" bestFit="1" customWidth="1"/>
    <col min="13" max="13" width="13.109375" bestFit="1" customWidth="1"/>
    <col min="14" max="14" width="27.5546875" bestFit="1" customWidth="1"/>
    <col min="15" max="15" width="19.44140625" bestFit="1" customWidth="1"/>
    <col min="16" max="16" width="19.109375" bestFit="1" customWidth="1"/>
    <col min="17" max="18" width="13.44140625" bestFit="1" customWidth="1"/>
    <col min="19" max="19" width="23" bestFit="1" customWidth="1"/>
    <col min="20" max="20" width="10.5546875" bestFit="1" customWidth="1"/>
    <col min="21" max="21" width="10.6640625" bestFit="1" customWidth="1"/>
    <col min="22" max="23" width="11.33203125" bestFit="1" customWidth="1"/>
    <col min="24" max="24" width="29.6640625" bestFit="1" customWidth="1"/>
    <col min="25" max="25" width="13.33203125" bestFit="1" customWidth="1"/>
    <col min="26" max="26" width="12.109375" bestFit="1" customWidth="1"/>
  </cols>
  <sheetData>
    <row r="2" spans="2:14" ht="21" x14ac:dyDescent="0.4">
      <c r="B2" s="4" t="s">
        <v>188</v>
      </c>
    </row>
    <row r="4" spans="2:14" x14ac:dyDescent="0.3">
      <c r="E4">
        <f>COLUMN()</f>
        <v>5</v>
      </c>
      <c r="F4">
        <f>COLUMN()</f>
        <v>6</v>
      </c>
      <c r="G4">
        <f>COLUMN()</f>
        <v>7</v>
      </c>
      <c r="H4">
        <f>COLUMN()</f>
        <v>8</v>
      </c>
      <c r="J4" s="23">
        <f>COLUMN()</f>
        <v>10</v>
      </c>
      <c r="K4" s="23">
        <f>COLUMN()</f>
        <v>11</v>
      </c>
      <c r="L4" s="23">
        <f>COLUMN()</f>
        <v>12</v>
      </c>
      <c r="M4" s="23">
        <f>COLUMN()</f>
        <v>13</v>
      </c>
      <c r="N4" s="23">
        <f>COLUMN()</f>
        <v>14</v>
      </c>
    </row>
    <row r="5" spans="2:14" x14ac:dyDescent="0.3">
      <c r="B5">
        <f>ROW()</f>
        <v>5</v>
      </c>
      <c r="C5" t="s">
        <v>189</v>
      </c>
      <c r="E5" s="18" t="s">
        <v>21</v>
      </c>
      <c r="F5" s="18" t="s">
        <v>190</v>
      </c>
      <c r="G5" s="2" t="s">
        <v>191</v>
      </c>
      <c r="H5" s="18" t="s">
        <v>192</v>
      </c>
      <c r="I5">
        <f>ROW()</f>
        <v>5</v>
      </c>
      <c r="J5" s="18" t="s">
        <v>21</v>
      </c>
      <c r="K5" s="18" t="s">
        <v>190</v>
      </c>
      <c r="L5" s="2" t="s">
        <v>191</v>
      </c>
      <c r="M5" s="18" t="s">
        <v>192</v>
      </c>
    </row>
    <row r="6" spans="2:14" x14ac:dyDescent="0.3">
      <c r="B6">
        <f>ROW()</f>
        <v>6</v>
      </c>
      <c r="C6" s="60" t="s">
        <v>52</v>
      </c>
      <c r="D6" s="2" t="s">
        <v>193</v>
      </c>
      <c r="E6" s="2" t="s">
        <v>194</v>
      </c>
      <c r="F6" s="2" t="s">
        <v>195</v>
      </c>
      <c r="G6" s="2" t="s">
        <v>196</v>
      </c>
      <c r="H6" s="2" t="s">
        <v>197</v>
      </c>
      <c r="I6">
        <f>ROW()</f>
        <v>6</v>
      </c>
      <c r="J6" s="2" t="s">
        <v>198</v>
      </c>
      <c r="K6" s="2" t="s">
        <v>199</v>
      </c>
      <c r="L6" s="2" t="s">
        <v>200</v>
      </c>
      <c r="M6" s="2" t="s">
        <v>201</v>
      </c>
      <c r="N6" s="2" t="s">
        <v>202</v>
      </c>
    </row>
    <row r="7" spans="2:14" x14ac:dyDescent="0.3">
      <c r="B7">
        <f>ROW()</f>
        <v>7</v>
      </c>
      <c r="C7" s="2" t="s">
        <v>54</v>
      </c>
      <c r="D7" s="2" t="s">
        <v>203</v>
      </c>
      <c r="E7" s="2" t="s">
        <v>204</v>
      </c>
      <c r="F7" s="2" t="s">
        <v>205</v>
      </c>
      <c r="G7" s="2" t="s">
        <v>206</v>
      </c>
      <c r="H7" s="2" t="s">
        <v>207</v>
      </c>
      <c r="I7">
        <f>ROW()</f>
        <v>7</v>
      </c>
      <c r="J7" s="7" t="s">
        <v>208</v>
      </c>
      <c r="K7" s="7" t="s">
        <v>209</v>
      </c>
      <c r="L7" s="7" t="s">
        <v>210</v>
      </c>
      <c r="M7" s="7" t="s">
        <v>211</v>
      </c>
      <c r="N7" s="2" t="s">
        <v>212</v>
      </c>
    </row>
    <row r="8" spans="2:14" x14ac:dyDescent="0.3">
      <c r="B8">
        <f>ROW()</f>
        <v>8</v>
      </c>
      <c r="C8" s="2" t="s">
        <v>32</v>
      </c>
      <c r="D8" s="2" t="s">
        <v>213</v>
      </c>
      <c r="E8" s="2" t="s">
        <v>214</v>
      </c>
      <c r="F8" s="2" t="s">
        <v>215</v>
      </c>
      <c r="G8" s="2" t="s">
        <v>216</v>
      </c>
      <c r="H8" s="2" t="s">
        <v>217</v>
      </c>
      <c r="I8">
        <f>ROW()</f>
        <v>8</v>
      </c>
      <c r="J8" s="2" t="s">
        <v>218</v>
      </c>
      <c r="K8" s="2" t="s">
        <v>219</v>
      </c>
      <c r="L8" s="2" t="s">
        <v>220</v>
      </c>
      <c r="M8" s="2" t="s">
        <v>221</v>
      </c>
      <c r="N8" s="2" t="s">
        <v>222</v>
      </c>
    </row>
    <row r="9" spans="2:14" ht="15.6" x14ac:dyDescent="0.35">
      <c r="B9">
        <f>ROW()</f>
        <v>9</v>
      </c>
      <c r="C9" s="2" t="s">
        <v>60</v>
      </c>
      <c r="D9" s="2" t="s">
        <v>223</v>
      </c>
      <c r="E9" s="2" t="s">
        <v>224</v>
      </c>
      <c r="F9" s="2" t="s">
        <v>225</v>
      </c>
      <c r="G9" s="2" t="s">
        <v>226</v>
      </c>
      <c r="H9" s="2" t="s">
        <v>227</v>
      </c>
      <c r="I9">
        <f>ROW()</f>
        <v>9</v>
      </c>
      <c r="J9" s="22" t="s">
        <v>228</v>
      </c>
      <c r="K9" s="22" t="s">
        <v>229</v>
      </c>
      <c r="L9" s="22" t="s">
        <v>230</v>
      </c>
      <c r="M9" s="22" t="s">
        <v>231</v>
      </c>
      <c r="N9" s="22" t="s">
        <v>154</v>
      </c>
    </row>
    <row r="10" spans="2:14" x14ac:dyDescent="0.3">
      <c r="B10">
        <f>ROW()</f>
        <v>10</v>
      </c>
      <c r="C10" s="2" t="s">
        <v>58</v>
      </c>
      <c r="D10" s="2" t="s">
        <v>213</v>
      </c>
      <c r="E10" s="2" t="s">
        <v>214</v>
      </c>
      <c r="F10" s="2" t="s">
        <v>215</v>
      </c>
      <c r="G10" s="2" t="s">
        <v>216</v>
      </c>
      <c r="H10" s="2" t="s">
        <v>217</v>
      </c>
      <c r="I10">
        <f>ROW()</f>
        <v>10</v>
      </c>
      <c r="J10" s="7" t="s">
        <v>228</v>
      </c>
      <c r="K10" s="7" t="s">
        <v>229</v>
      </c>
      <c r="L10" s="7" t="s">
        <v>230</v>
      </c>
      <c r="M10" s="7" t="s">
        <v>231</v>
      </c>
      <c r="N10" s="7" t="s">
        <v>158</v>
      </c>
    </row>
    <row r="11" spans="2:14" x14ac:dyDescent="0.3">
      <c r="B11">
        <f>ROW()</f>
        <v>11</v>
      </c>
      <c r="C11" s="2" t="s">
        <v>49</v>
      </c>
      <c r="D11" s="2" t="s">
        <v>232</v>
      </c>
      <c r="E11" s="2" t="s">
        <v>233</v>
      </c>
      <c r="F11" s="2" t="s">
        <v>234</v>
      </c>
      <c r="G11" s="2" t="s">
        <v>235</v>
      </c>
      <c r="H11" s="2" t="s">
        <v>236</v>
      </c>
      <c r="I11">
        <f>ROW()</f>
        <v>11</v>
      </c>
      <c r="J11" s="7" t="s">
        <v>228</v>
      </c>
      <c r="K11" s="7" t="s">
        <v>229</v>
      </c>
      <c r="L11" s="7" t="s">
        <v>230</v>
      </c>
      <c r="M11" s="7" t="s">
        <v>231</v>
      </c>
      <c r="N11" s="7" t="s">
        <v>157</v>
      </c>
    </row>
    <row r="12" spans="2:14" x14ac:dyDescent="0.3">
      <c r="B12">
        <f>ROW()</f>
        <v>12</v>
      </c>
      <c r="C12" s="2" t="s">
        <v>44</v>
      </c>
      <c r="D12" s="2" t="s">
        <v>193</v>
      </c>
      <c r="E12" s="2" t="s">
        <v>194</v>
      </c>
      <c r="F12" s="2" t="s">
        <v>195</v>
      </c>
      <c r="G12" s="2" t="s">
        <v>196</v>
      </c>
      <c r="H12" s="2" t="s">
        <v>197</v>
      </c>
      <c r="I12">
        <f>ROW()</f>
        <v>12</v>
      </c>
      <c r="J12" s="22" t="s">
        <v>198</v>
      </c>
      <c r="K12" s="22" t="s">
        <v>199</v>
      </c>
      <c r="L12" s="22" t="s">
        <v>200</v>
      </c>
      <c r="M12" s="22" t="s">
        <v>201</v>
      </c>
      <c r="N12" s="22" t="s">
        <v>237</v>
      </c>
    </row>
    <row r="13" spans="2:14" x14ac:dyDescent="0.3">
      <c r="B13">
        <f>ROW()</f>
        <v>13</v>
      </c>
      <c r="C13" s="2" t="s">
        <v>238</v>
      </c>
      <c r="D13" s="2" t="s">
        <v>39</v>
      </c>
      <c r="E13" s="2" t="s">
        <v>218</v>
      </c>
      <c r="F13" s="2" t="s">
        <v>219</v>
      </c>
      <c r="G13" s="2" t="s">
        <v>220</v>
      </c>
      <c r="H13" s="2" t="s">
        <v>221</v>
      </c>
      <c r="I13">
        <f>ROW()</f>
        <v>13</v>
      </c>
      <c r="J13" s="7"/>
      <c r="K13" s="7"/>
      <c r="L13" s="7"/>
      <c r="M13" s="7"/>
      <c r="N13" s="7"/>
    </row>
    <row r="14" spans="2:14" x14ac:dyDescent="0.3">
      <c r="B14">
        <f>ROW()</f>
        <v>14</v>
      </c>
      <c r="D14" s="2" t="s">
        <v>121</v>
      </c>
      <c r="E14" s="2" t="s">
        <v>239</v>
      </c>
      <c r="F14" s="2" t="s">
        <v>240</v>
      </c>
      <c r="G14" s="2" t="s">
        <v>241</v>
      </c>
      <c r="H14" s="2" t="s">
        <v>242</v>
      </c>
      <c r="I14">
        <f>ROW()</f>
        <v>14</v>
      </c>
      <c r="J14" s="7"/>
      <c r="K14" s="7"/>
      <c r="L14" s="7"/>
      <c r="M14" s="7"/>
      <c r="N14" s="7"/>
    </row>
    <row r="15" spans="2:14" x14ac:dyDescent="0.3">
      <c r="B15">
        <v>15</v>
      </c>
      <c r="E15" s="2" t="s">
        <v>228</v>
      </c>
      <c r="F15" s="2" t="s">
        <v>229</v>
      </c>
      <c r="G15" s="2" t="s">
        <v>230</v>
      </c>
      <c r="H15" s="2" t="s">
        <v>231</v>
      </c>
      <c r="I15">
        <f>ROW()</f>
        <v>15</v>
      </c>
      <c r="J15" s="7" t="s">
        <v>198</v>
      </c>
      <c r="K15" s="7" t="s">
        <v>199</v>
      </c>
      <c r="L15" s="7" t="s">
        <v>200</v>
      </c>
      <c r="M15" s="7" t="s">
        <v>201</v>
      </c>
      <c r="N15" s="7" t="s">
        <v>243</v>
      </c>
    </row>
    <row r="16" spans="2:14" x14ac:dyDescent="0.3">
      <c r="B16">
        <f>ROW()</f>
        <v>16</v>
      </c>
      <c r="E16" s="2" t="s">
        <v>198</v>
      </c>
      <c r="F16" s="2" t="s">
        <v>199</v>
      </c>
      <c r="G16" s="2" t="s">
        <v>200</v>
      </c>
      <c r="H16" s="2" t="s">
        <v>201</v>
      </c>
      <c r="I16">
        <f>ROW()</f>
        <v>16</v>
      </c>
      <c r="J16" s="7" t="s">
        <v>198</v>
      </c>
      <c r="K16" s="7" t="s">
        <v>199</v>
      </c>
      <c r="L16" s="7" t="s">
        <v>200</v>
      </c>
      <c r="M16" s="7" t="s">
        <v>201</v>
      </c>
      <c r="N16" s="7" t="s">
        <v>244</v>
      </c>
    </row>
    <row r="17" spans="2:14" x14ac:dyDescent="0.3">
      <c r="B17">
        <f>ROW()</f>
        <v>17</v>
      </c>
      <c r="E17" s="2" t="s">
        <v>245</v>
      </c>
      <c r="F17" s="2" t="s">
        <v>246</v>
      </c>
      <c r="G17" s="2" t="s">
        <v>247</v>
      </c>
      <c r="H17" s="2" t="s">
        <v>248</v>
      </c>
      <c r="I17">
        <f>ROW()</f>
        <v>17</v>
      </c>
      <c r="J17" s="7" t="s">
        <v>198</v>
      </c>
      <c r="K17" s="7" t="s">
        <v>199</v>
      </c>
      <c r="L17" s="7" t="s">
        <v>200</v>
      </c>
      <c r="M17" s="7" t="s">
        <v>201</v>
      </c>
      <c r="N17" s="7" t="s">
        <v>249</v>
      </c>
    </row>
    <row r="18" spans="2:14" x14ac:dyDescent="0.3">
      <c r="B18">
        <v>16</v>
      </c>
      <c r="I18">
        <f>ROW()</f>
        <v>18</v>
      </c>
      <c r="J18" s="7" t="s">
        <v>198</v>
      </c>
      <c r="K18" s="7" t="s">
        <v>199</v>
      </c>
      <c r="L18" s="7" t="s">
        <v>200</v>
      </c>
      <c r="M18" s="7" t="s">
        <v>201</v>
      </c>
      <c r="N18" s="7" t="s">
        <v>162</v>
      </c>
    </row>
    <row r="19" spans="2:14" x14ac:dyDescent="0.3">
      <c r="B19">
        <f>ROW()</f>
        <v>19</v>
      </c>
      <c r="I19">
        <f>ROW()</f>
        <v>19</v>
      </c>
      <c r="J19" s="7" t="s">
        <v>198</v>
      </c>
      <c r="K19" s="7" t="s">
        <v>199</v>
      </c>
      <c r="L19" s="7" t="s">
        <v>200</v>
      </c>
      <c r="M19" s="7" t="s">
        <v>201</v>
      </c>
      <c r="N19" s="7" t="s">
        <v>177</v>
      </c>
    </row>
    <row r="20" spans="2:14" x14ac:dyDescent="0.3">
      <c r="B20">
        <f>ROW()</f>
        <v>20</v>
      </c>
      <c r="I20">
        <f>ROW()</f>
        <v>20</v>
      </c>
      <c r="J20" s="7" t="s">
        <v>218</v>
      </c>
      <c r="K20" s="7" t="s">
        <v>219</v>
      </c>
      <c r="L20" s="7" t="s">
        <v>220</v>
      </c>
      <c r="M20" s="7" t="s">
        <v>221</v>
      </c>
      <c r="N20" s="7" t="s">
        <v>250</v>
      </c>
    </row>
    <row r="24" spans="2:14" x14ac:dyDescent="0.3">
      <c r="E24" s="2" t="s">
        <v>251</v>
      </c>
      <c r="F24" s="2">
        <f>E4</f>
        <v>5</v>
      </c>
    </row>
    <row r="25" spans="2:14" x14ac:dyDescent="0.3">
      <c r="E25" s="12" t="s">
        <v>252</v>
      </c>
      <c r="F25" s="12" t="str">
        <f>'Boundary conditions'!H2</f>
        <v>EUR</v>
      </c>
    </row>
    <row r="26" spans="2:14" x14ac:dyDescent="0.3">
      <c r="E26" s="2" t="s">
        <v>253</v>
      </c>
      <c r="F26" s="2">
        <f>MATCH(F25,HelpSheet!E5:H5,0)+F24-1</f>
        <v>5</v>
      </c>
    </row>
    <row r="28" spans="2:14" x14ac:dyDescent="0.3">
      <c r="F28" t="str">
        <f ca="1">INDIRECT(ADDRESS(B14,F26,1,1,"HelpSheet"))</f>
        <v>Fuel price [EUR/MWh]</v>
      </c>
    </row>
    <row r="30" spans="2:14" x14ac:dyDescent="0.3">
      <c r="E30" s="2" t="s">
        <v>251</v>
      </c>
      <c r="F30" s="2">
        <f>J4</f>
        <v>10</v>
      </c>
    </row>
    <row r="31" spans="2:14" x14ac:dyDescent="0.3">
      <c r="E31" s="2" t="s">
        <v>254</v>
      </c>
      <c r="F31" s="2">
        <f>MATCH(F25,HelpSheet!J5:M5,0)+F30-1</f>
        <v>10</v>
      </c>
    </row>
    <row r="37" spans="2:25" x14ac:dyDescent="0.3">
      <c r="B37" s="17" t="str">
        <f ca="1">CONCATENATE("Fuel prices in .. ",'Boundary conditions'!E9)</f>
        <v>Fuel prices in .. [EUR/MWh]</v>
      </c>
    </row>
    <row r="38" spans="2:25" x14ac:dyDescent="0.3">
      <c r="B38" s="6" t="s">
        <v>255</v>
      </c>
      <c r="C38" s="12">
        <v>1</v>
      </c>
      <c r="D38" s="12">
        <v>2</v>
      </c>
      <c r="E38" s="12">
        <v>3</v>
      </c>
      <c r="F38" s="12">
        <v>4</v>
      </c>
      <c r="G38" s="12">
        <v>5</v>
      </c>
      <c r="H38" s="12">
        <v>6</v>
      </c>
      <c r="I38" s="12">
        <v>7</v>
      </c>
      <c r="J38" s="12">
        <v>8</v>
      </c>
      <c r="K38" s="12">
        <v>9</v>
      </c>
      <c r="L38" s="12">
        <v>10</v>
      </c>
      <c r="M38" s="12">
        <v>11</v>
      </c>
      <c r="N38" s="12">
        <v>12</v>
      </c>
      <c r="O38" s="12">
        <v>13</v>
      </c>
      <c r="P38" s="12">
        <v>14</v>
      </c>
      <c r="Q38" s="12">
        <v>15</v>
      </c>
      <c r="R38" s="12">
        <v>16</v>
      </c>
      <c r="S38" s="12">
        <v>17</v>
      </c>
      <c r="T38" s="12">
        <v>18</v>
      </c>
      <c r="U38" s="12">
        <v>19</v>
      </c>
      <c r="V38" s="12">
        <v>20</v>
      </c>
    </row>
    <row r="39" spans="2:25" x14ac:dyDescent="0.3">
      <c r="B39" s="7" t="s">
        <v>256</v>
      </c>
      <c r="C39" s="15">
        <v>2020</v>
      </c>
      <c r="D39" s="15">
        <f>C39+1</f>
        <v>2021</v>
      </c>
      <c r="E39" s="15">
        <f t="shared" ref="E39:V39" si="0">D39+1</f>
        <v>2022</v>
      </c>
      <c r="F39" s="15">
        <f t="shared" si="0"/>
        <v>2023</v>
      </c>
      <c r="G39" s="15">
        <f t="shared" si="0"/>
        <v>2024</v>
      </c>
      <c r="H39" s="15">
        <f t="shared" si="0"/>
        <v>2025</v>
      </c>
      <c r="I39" s="15">
        <f t="shared" si="0"/>
        <v>2026</v>
      </c>
      <c r="J39" s="15">
        <f t="shared" si="0"/>
        <v>2027</v>
      </c>
      <c r="K39" s="15">
        <f t="shared" si="0"/>
        <v>2028</v>
      </c>
      <c r="L39" s="15">
        <f t="shared" si="0"/>
        <v>2029</v>
      </c>
      <c r="M39" s="15">
        <f t="shared" si="0"/>
        <v>2030</v>
      </c>
      <c r="N39" s="15">
        <f t="shared" si="0"/>
        <v>2031</v>
      </c>
      <c r="O39" s="15">
        <f t="shared" si="0"/>
        <v>2032</v>
      </c>
      <c r="P39" s="15">
        <f t="shared" si="0"/>
        <v>2033</v>
      </c>
      <c r="Q39" s="15">
        <f t="shared" si="0"/>
        <v>2034</v>
      </c>
      <c r="R39" s="15">
        <f t="shared" si="0"/>
        <v>2035</v>
      </c>
      <c r="S39" s="15">
        <f t="shared" si="0"/>
        <v>2036</v>
      </c>
      <c r="T39" s="15">
        <f t="shared" si="0"/>
        <v>2037</v>
      </c>
      <c r="U39" s="15">
        <f t="shared" si="0"/>
        <v>2038</v>
      </c>
      <c r="V39" s="15">
        <f t="shared" si="0"/>
        <v>2039</v>
      </c>
      <c r="X39" s="12" t="s">
        <v>257</v>
      </c>
      <c r="Y39" s="12" t="s">
        <v>258</v>
      </c>
    </row>
    <row r="40" spans="2:25" x14ac:dyDescent="0.3">
      <c r="B40" s="18" t="s">
        <v>32</v>
      </c>
      <c r="C40" s="129">
        <f>'Boundary conditions'!D9</f>
        <v>74.166666666666671</v>
      </c>
      <c r="D40" s="129">
        <f>C40*(1+'Boundary conditions'!$D$8)</f>
        <v>77.13333333333334</v>
      </c>
      <c r="E40" s="129">
        <f>D40*(1+'Boundary conditions'!$D$8)</f>
        <v>80.218666666666678</v>
      </c>
      <c r="F40" s="129">
        <f>E40*(1+'Boundary conditions'!$D$8)</f>
        <v>83.427413333333348</v>
      </c>
      <c r="G40" s="129">
        <f>F40*(1+'Boundary conditions'!$D$8)</f>
        <v>86.764509866666685</v>
      </c>
      <c r="H40" s="129">
        <f>G40*(1+'Boundary conditions'!$D$8)</f>
        <v>90.235090261333355</v>
      </c>
      <c r="I40" s="129">
        <f>H40*(1+'Boundary conditions'!$D$8)</f>
        <v>93.844493871786696</v>
      </c>
      <c r="J40" s="129">
        <f>I40*(1+'Boundary conditions'!$D$8)</f>
        <v>97.59827362665817</v>
      </c>
      <c r="K40" s="129">
        <f>J40*(1+'Boundary conditions'!$D$8)</f>
        <v>101.5022045717245</v>
      </c>
      <c r="L40" s="129">
        <f>K40*(1+'Boundary conditions'!$D$8)</f>
        <v>105.56229275459349</v>
      </c>
      <c r="M40" s="129">
        <f>L40*(1+'Boundary conditions'!$D$8)</f>
        <v>109.78478446477723</v>
      </c>
      <c r="N40" s="129">
        <f>M40*(1+'Boundary conditions'!$D$8)</f>
        <v>114.17617584336833</v>
      </c>
      <c r="O40" s="129">
        <f>N40*(1+'Boundary conditions'!$D$8)</f>
        <v>118.74322287710307</v>
      </c>
      <c r="P40" s="129">
        <f>O40*(1+'Boundary conditions'!$D$8)</f>
        <v>123.49295179218718</v>
      </c>
      <c r="Q40" s="129">
        <f>P40*(1+'Boundary conditions'!$D$8)</f>
        <v>128.43266986387468</v>
      </c>
      <c r="R40" s="129">
        <f>Q40*(1+'Boundary conditions'!$D$8)</f>
        <v>133.56997665842968</v>
      </c>
      <c r="S40" s="129">
        <f>R40*(1+'Boundary conditions'!$D$8)</f>
        <v>138.91277572476687</v>
      </c>
      <c r="T40" s="129">
        <f>S40*(1+'Boundary conditions'!$D$8)</f>
        <v>144.46928675375756</v>
      </c>
      <c r="U40" s="129">
        <f>T40*(1+'Boundary conditions'!$D$8)</f>
        <v>150.24805822390786</v>
      </c>
      <c r="V40" s="129">
        <f>U40*(1+'Boundary conditions'!$D$8)</f>
        <v>156.25798055286418</v>
      </c>
      <c r="X40" s="16">
        <f>AVERAGE(C40:L40)</f>
        <v>89.045294495276295</v>
      </c>
      <c r="Y40" s="16">
        <f t="shared" ref="Y40:Y46" si="1">AVERAGE(C40:V40)</f>
        <v>110.42704138538997</v>
      </c>
    </row>
    <row r="41" spans="2:25" x14ac:dyDescent="0.3">
      <c r="B41" s="18" t="s">
        <v>259</v>
      </c>
      <c r="C41" s="129">
        <f>'Boundary conditions'!D15</f>
        <v>10</v>
      </c>
      <c r="D41" s="129">
        <f>C41*(1+'Boundary conditions'!$D$14)</f>
        <v>10.4</v>
      </c>
      <c r="E41" s="129">
        <f>D41*(1+'Boundary conditions'!$D$14)</f>
        <v>10.816000000000001</v>
      </c>
      <c r="F41" s="129">
        <f>E41*(1+'Boundary conditions'!$D$14)</f>
        <v>11.248640000000002</v>
      </c>
      <c r="G41" s="129">
        <f>F41*(1+'Boundary conditions'!$D$14)</f>
        <v>11.698585600000003</v>
      </c>
      <c r="H41" s="129">
        <f>G41*(1+'Boundary conditions'!$D$14)</f>
        <v>12.166529024000004</v>
      </c>
      <c r="I41" s="129">
        <f>H41*(1+'Boundary conditions'!$D$14)</f>
        <v>12.653190184960005</v>
      </c>
      <c r="J41" s="129">
        <f>I41*(1+'Boundary conditions'!$D$14)</f>
        <v>13.159317792358406</v>
      </c>
      <c r="K41" s="129">
        <f>J41*(1+'Boundary conditions'!$D$14)</f>
        <v>13.685690504052744</v>
      </c>
      <c r="L41" s="129">
        <f>K41*(1+'Boundary conditions'!$D$14)</f>
        <v>14.233118124214855</v>
      </c>
      <c r="M41" s="129">
        <f>L41*(1+'Boundary conditions'!$D$14)</f>
        <v>14.80244284918345</v>
      </c>
      <c r="N41" s="129">
        <f>M41*(1+'Boundary conditions'!$D$14)</f>
        <v>15.394540563150789</v>
      </c>
      <c r="O41" s="129">
        <f>N41*(1+'Boundary conditions'!$D$14)</f>
        <v>16.01032218567682</v>
      </c>
      <c r="P41" s="129">
        <f>O41*(1+'Boundary conditions'!$D$14)</f>
        <v>16.650735073103892</v>
      </c>
      <c r="Q41" s="129">
        <f>P41*(1+'Boundary conditions'!$D$14)</f>
        <v>17.316764476028048</v>
      </c>
      <c r="R41" s="129">
        <f>Q41*(1+'Boundary conditions'!$D$14)</f>
        <v>18.009435055069172</v>
      </c>
      <c r="S41" s="129">
        <f>R41*(1+'Boundary conditions'!$D$14)</f>
        <v>18.72981245727194</v>
      </c>
      <c r="T41" s="129">
        <f>S41*(1+'Boundary conditions'!$D$14)</f>
        <v>19.479004955562818</v>
      </c>
      <c r="U41" s="129">
        <f>T41*(1+'Boundary conditions'!$D$14)</f>
        <v>20.258165153785331</v>
      </c>
      <c r="V41" s="129">
        <f>U41*(1+'Boundary conditions'!$D$14)</f>
        <v>21.068491759936745</v>
      </c>
      <c r="X41" s="16">
        <f t="shared" ref="X41:X46" si="2">AVERAGE(C41:L41)</f>
        <v>12.006107122958602</v>
      </c>
      <c r="Y41" s="16">
        <f t="shared" si="1"/>
        <v>14.889039287917754</v>
      </c>
    </row>
    <row r="42" spans="2:25" x14ac:dyDescent="0.3">
      <c r="B42" s="18" t="s">
        <v>49</v>
      </c>
      <c r="C42" s="129">
        <f>'Boundary conditions'!D21</f>
        <v>36.954087346024636</v>
      </c>
      <c r="D42" s="129">
        <f>C42*(1+'Boundary conditions'!$D$20)</f>
        <v>38.432250839865624</v>
      </c>
      <c r="E42" s="129">
        <f>D42*(1+'Boundary conditions'!$D$20)</f>
        <v>39.969540873460254</v>
      </c>
      <c r="F42" s="129">
        <f>E42*(1+'Boundary conditions'!$D$20)</f>
        <v>41.568322508398666</v>
      </c>
      <c r="G42" s="129">
        <f>F42*(1+'Boundary conditions'!$D$20)</f>
        <v>43.231055408734612</v>
      </c>
      <c r="H42" s="129">
        <f>G42*(1+'Boundary conditions'!$D$20)</f>
        <v>44.960297625083996</v>
      </c>
      <c r="I42" s="129">
        <f>H42*(1+'Boundary conditions'!$D$20)</f>
        <v>46.758709530087359</v>
      </c>
      <c r="J42" s="129">
        <f>I42*(1+'Boundary conditions'!$D$20)</f>
        <v>48.629057911290857</v>
      </c>
      <c r="K42" s="129">
        <f>J42*(1+'Boundary conditions'!$D$20)</f>
        <v>50.574220227742494</v>
      </c>
      <c r="L42" s="129">
        <f>K42*(1+'Boundary conditions'!$D$20)</f>
        <v>52.597189036852193</v>
      </c>
      <c r="M42" s="129">
        <f>L42*(1+'Boundary conditions'!$D$20)</f>
        <v>54.701076598326281</v>
      </c>
      <c r="N42" s="129">
        <f>M42*(1+'Boundary conditions'!$D$20)</f>
        <v>56.889119662259333</v>
      </c>
      <c r="O42" s="129">
        <f>N42*(1+'Boundary conditions'!$D$20)</f>
        <v>59.164684448749711</v>
      </c>
      <c r="P42" s="129">
        <f>O42*(1+'Boundary conditions'!$D$20)</f>
        <v>61.531271826699701</v>
      </c>
      <c r="Q42" s="129">
        <f>P42*(1+'Boundary conditions'!$D$20)</f>
        <v>63.99252269976769</v>
      </c>
      <c r="R42" s="129">
        <f>Q42*(1+'Boundary conditions'!$D$20)</f>
        <v>66.552223607758407</v>
      </c>
      <c r="S42" s="129">
        <f>R42*(1+'Boundary conditions'!$D$20)</f>
        <v>69.214312552068748</v>
      </c>
      <c r="T42" s="129">
        <f>S42*(1+'Boundary conditions'!$D$20)</f>
        <v>71.982885054151495</v>
      </c>
      <c r="U42" s="129">
        <f>T42*(1+'Boundary conditions'!$D$20)</f>
        <v>74.862200456317552</v>
      </c>
      <c r="V42" s="129">
        <f>U42*(1+'Boundary conditions'!$D$20)</f>
        <v>77.856688474570262</v>
      </c>
      <c r="X42" s="16">
        <f t="shared" si="2"/>
        <v>44.367473130754071</v>
      </c>
      <c r="Y42" s="16">
        <f t="shared" si="1"/>
        <v>55.021085834410485</v>
      </c>
    </row>
    <row r="43" spans="2:25" x14ac:dyDescent="0.3">
      <c r="B43" s="18" t="s">
        <v>260</v>
      </c>
      <c r="C43" s="129">
        <f>'Boundary conditions'!D27</f>
        <v>132.74336283185841</v>
      </c>
      <c r="D43" s="129">
        <f>C43*(1+'Boundary conditions'!$D$26)</f>
        <v>138.05309734513276</v>
      </c>
      <c r="E43" s="129">
        <f>D43*(1+'Boundary conditions'!$D$26)</f>
        <v>143.57522123893807</v>
      </c>
      <c r="F43" s="129">
        <f>E43*(1+'Boundary conditions'!$D$26)</f>
        <v>149.3182300884956</v>
      </c>
      <c r="G43" s="129">
        <f>F43*(1+'Boundary conditions'!$D$26)</f>
        <v>155.29095929203544</v>
      </c>
      <c r="H43" s="129">
        <f>G43*(1+'Boundary conditions'!$D$26)</f>
        <v>161.50259766371687</v>
      </c>
      <c r="I43" s="129">
        <f>H43*(1+'Boundary conditions'!$D$26)</f>
        <v>167.96270157026555</v>
      </c>
      <c r="J43" s="129">
        <f>I43*(1+'Boundary conditions'!$D$26)</f>
        <v>174.68120963307618</v>
      </c>
      <c r="K43" s="129">
        <f>J43*(1+'Boundary conditions'!$D$26)</f>
        <v>181.66845801839924</v>
      </c>
      <c r="L43" s="129">
        <f>K43*(1+'Boundary conditions'!$D$26)</f>
        <v>188.93519633913522</v>
      </c>
      <c r="M43" s="129">
        <f>L43*(1+'Boundary conditions'!$D$26)</f>
        <v>196.49260419270064</v>
      </c>
      <c r="N43" s="129">
        <f>M43*(1+'Boundary conditions'!$D$26)</f>
        <v>204.35230836040867</v>
      </c>
      <c r="O43" s="129">
        <f>N43*(1+'Boundary conditions'!$D$26)</f>
        <v>212.52640069482501</v>
      </c>
      <c r="P43" s="129">
        <f>O43*(1+'Boundary conditions'!$D$26)</f>
        <v>221.02745672261801</v>
      </c>
      <c r="Q43" s="129">
        <f>P43*(1+'Boundary conditions'!$D$26)</f>
        <v>229.86855499152273</v>
      </c>
      <c r="R43" s="129">
        <f>Q43*(1+'Boundary conditions'!$D$26)</f>
        <v>239.06329719118364</v>
      </c>
      <c r="S43" s="129">
        <f>R43*(1+'Boundary conditions'!$D$26)</f>
        <v>248.625829078831</v>
      </c>
      <c r="T43" s="129">
        <f>S43*(1+'Boundary conditions'!$D$26)</f>
        <v>258.57086224198423</v>
      </c>
      <c r="U43" s="129">
        <f>T43*(1+'Boundary conditions'!$D$26)</f>
        <v>268.91369673166361</v>
      </c>
      <c r="V43" s="129">
        <f>U43*(1+'Boundary conditions'!$D$26)</f>
        <v>279.67024460093018</v>
      </c>
      <c r="X43" s="16">
        <f t="shared" si="2"/>
        <v>159.37310340210533</v>
      </c>
      <c r="Y43" s="16">
        <f t="shared" si="1"/>
        <v>197.64211444138604</v>
      </c>
    </row>
    <row r="44" spans="2:25" x14ac:dyDescent="0.3">
      <c r="B44" s="18" t="s">
        <v>54</v>
      </c>
      <c r="C44" s="129">
        <f>'Boundary conditions'!D33</f>
        <v>100</v>
      </c>
      <c r="D44" s="129">
        <f>C44*(1+'Boundary conditions'!$D$32)</f>
        <v>104</v>
      </c>
      <c r="E44" s="129">
        <f>D44*(1+'Boundary conditions'!$D$32)</f>
        <v>108.16</v>
      </c>
      <c r="F44" s="129">
        <f>E44*(1+'Boundary conditions'!$D$32)</f>
        <v>112.4864</v>
      </c>
      <c r="G44" s="129">
        <f>F44*(1+'Boundary conditions'!$D$32)</f>
        <v>116.98585600000001</v>
      </c>
      <c r="H44" s="129">
        <f>G44*(1+'Boundary conditions'!$D$32)</f>
        <v>121.66529024000002</v>
      </c>
      <c r="I44" s="129">
        <f>H44*(1+'Boundary conditions'!$D$32)</f>
        <v>126.53190184960002</v>
      </c>
      <c r="J44" s="129">
        <f>I44*(1+'Boundary conditions'!$D$32)</f>
        <v>131.59317792358402</v>
      </c>
      <c r="K44" s="129">
        <f>J44*(1+'Boundary conditions'!$D$32)</f>
        <v>136.85690504052738</v>
      </c>
      <c r="L44" s="129">
        <f>K44*(1+'Boundary conditions'!$D$32)</f>
        <v>142.33118124214849</v>
      </c>
      <c r="M44" s="129">
        <f>L44*(1+'Boundary conditions'!$D$32)</f>
        <v>148.02442849183444</v>
      </c>
      <c r="N44" s="129">
        <f>M44*(1+'Boundary conditions'!$D$32)</f>
        <v>153.94540563150784</v>
      </c>
      <c r="O44" s="129">
        <f>N44*(1+'Boundary conditions'!$D$32)</f>
        <v>160.10322185676816</v>
      </c>
      <c r="P44" s="129">
        <f>O44*(1+'Boundary conditions'!$D$32)</f>
        <v>166.50735073103888</v>
      </c>
      <c r="Q44" s="129">
        <f>P44*(1+'Boundary conditions'!$D$32)</f>
        <v>173.16764476028044</v>
      </c>
      <c r="R44" s="129">
        <f>Q44*(1+'Boundary conditions'!$D$32)</f>
        <v>180.09435055069167</v>
      </c>
      <c r="S44" s="129">
        <f>R44*(1+'Boundary conditions'!$D$32)</f>
        <v>187.29812457271936</v>
      </c>
      <c r="T44" s="129">
        <f>S44*(1+'Boundary conditions'!$D$32)</f>
        <v>194.79004955562814</v>
      </c>
      <c r="U44" s="129">
        <f>T44*(1+'Boundary conditions'!$D$32)</f>
        <v>202.58165153785328</v>
      </c>
      <c r="V44" s="129">
        <f>U44*(1+'Boundary conditions'!$D$32)</f>
        <v>210.68491759936742</v>
      </c>
      <c r="X44" s="16">
        <f t="shared" si="2"/>
        <v>120.06107122958596</v>
      </c>
      <c r="Y44" s="16">
        <f t="shared" si="1"/>
        <v>148.89039287917745</v>
      </c>
    </row>
    <row r="45" spans="2:25" x14ac:dyDescent="0.3">
      <c r="B45" s="18" t="s">
        <v>58</v>
      </c>
      <c r="C45" s="129">
        <f>'Boundary conditions'!D39</f>
        <v>68.75</v>
      </c>
      <c r="D45" s="129">
        <f>C45*(1+'Boundary conditions'!$D$38)</f>
        <v>71.5</v>
      </c>
      <c r="E45" s="129">
        <f>D45*(1+'Boundary conditions'!$D$38)</f>
        <v>74.36</v>
      </c>
      <c r="F45" s="129">
        <f>E45*(1+'Boundary conditions'!$D$38)</f>
        <v>77.334400000000002</v>
      </c>
      <c r="G45" s="129">
        <f>F45*(1+'Boundary conditions'!$D$38)</f>
        <v>80.427776000000009</v>
      </c>
      <c r="H45" s="129">
        <f>G45*(1+'Boundary conditions'!$D$38)</f>
        <v>83.644887040000015</v>
      </c>
      <c r="I45" s="129">
        <f>H45*(1+'Boundary conditions'!$D$38)</f>
        <v>86.990682521600021</v>
      </c>
      <c r="J45" s="129">
        <f>I45*(1+'Boundary conditions'!$D$38)</f>
        <v>90.470309822464031</v>
      </c>
      <c r="K45" s="129">
        <f>J45*(1+'Boundary conditions'!$D$38)</f>
        <v>94.089122215362593</v>
      </c>
      <c r="L45" s="129">
        <f>K45*(1+'Boundary conditions'!$D$38)</f>
        <v>97.852687103977104</v>
      </c>
      <c r="M45" s="129">
        <f>L45*(1+'Boundary conditions'!$D$38)</f>
        <v>101.76679458813619</v>
      </c>
      <c r="N45" s="129">
        <f>M45*(1+'Boundary conditions'!$D$38)</f>
        <v>105.83746637166165</v>
      </c>
      <c r="O45" s="129">
        <f>N45*(1+'Boundary conditions'!$D$38)</f>
        <v>110.07096502652811</v>
      </c>
      <c r="P45" s="129">
        <f>O45*(1+'Boundary conditions'!$D$38)</f>
        <v>114.47380362758925</v>
      </c>
      <c r="Q45" s="129">
        <f>P45*(1+'Boundary conditions'!$D$38)</f>
        <v>119.05275577269282</v>
      </c>
      <c r="R45" s="129">
        <f>Q45*(1+'Boundary conditions'!$D$38)</f>
        <v>123.81486600360054</v>
      </c>
      <c r="S45" s="129">
        <f>R45*(1+'Boundary conditions'!$D$38)</f>
        <v>128.76746064374456</v>
      </c>
      <c r="T45" s="129">
        <f>S45*(1+'Boundary conditions'!$D$38)</f>
        <v>133.91815906949435</v>
      </c>
      <c r="U45" s="129">
        <f>T45*(1+'Boundary conditions'!$D$38)</f>
        <v>139.27488543227412</v>
      </c>
      <c r="V45" s="129">
        <f>U45*(1+'Boundary conditions'!$D$38)</f>
        <v>144.84588084956508</v>
      </c>
      <c r="X45" s="16">
        <f t="shared" si="2"/>
        <v>82.54198647034039</v>
      </c>
      <c r="Y45" s="16">
        <f t="shared" si="1"/>
        <v>102.3621451044345</v>
      </c>
    </row>
    <row r="46" spans="2:25" x14ac:dyDescent="0.3">
      <c r="B46" s="18" t="s">
        <v>60</v>
      </c>
      <c r="C46" s="129">
        <f>'Boundary conditions'!D45</f>
        <v>268</v>
      </c>
      <c r="D46" s="129">
        <f>C46*(1+'Boundary conditions'!$D$44)</f>
        <v>278.72000000000003</v>
      </c>
      <c r="E46" s="129">
        <f>D46*(1+'Boundary conditions'!$D$44)</f>
        <v>289.86880000000002</v>
      </c>
      <c r="F46" s="129">
        <f>E46*(1+'Boundary conditions'!$D$44)</f>
        <v>301.46355200000005</v>
      </c>
      <c r="G46" s="129">
        <f>F46*(1+'Boundary conditions'!$D$44)</f>
        <v>313.52209408000004</v>
      </c>
      <c r="H46" s="129">
        <f>G46*(1+'Boundary conditions'!$D$44)</f>
        <v>326.06297784320003</v>
      </c>
      <c r="I46" s="129">
        <f>H46*(1+'Boundary conditions'!$D$44)</f>
        <v>339.10549695692805</v>
      </c>
      <c r="J46" s="129">
        <f>I46*(1+'Boundary conditions'!$D$44)</f>
        <v>352.66971683520518</v>
      </c>
      <c r="K46" s="129">
        <f>J46*(1+'Boundary conditions'!$D$44)</f>
        <v>366.77650550861341</v>
      </c>
      <c r="L46" s="129">
        <f>K46*(1+'Boundary conditions'!$D$44)</f>
        <v>381.44756572895795</v>
      </c>
      <c r="M46" s="129">
        <f>L46*(1+'Boundary conditions'!$D$44)</f>
        <v>396.70546835811626</v>
      </c>
      <c r="N46" s="129">
        <f>M46*(1+'Boundary conditions'!$D$44)</f>
        <v>412.57368709244093</v>
      </c>
      <c r="O46" s="129">
        <f>N46*(1+'Boundary conditions'!$D$44)</f>
        <v>429.07663457613859</v>
      </c>
      <c r="P46" s="129">
        <f>O46*(1+'Boundary conditions'!$D$44)</f>
        <v>446.23969995918412</v>
      </c>
      <c r="Q46" s="129">
        <f>P46*(1+'Boundary conditions'!$D$44)</f>
        <v>464.08928795755151</v>
      </c>
      <c r="R46" s="129">
        <f>Q46*(1+'Boundary conditions'!$D$44)</f>
        <v>482.65285947585357</v>
      </c>
      <c r="S46" s="129">
        <f>R46*(1+'Boundary conditions'!$D$44)</f>
        <v>501.95897385488774</v>
      </c>
      <c r="T46" s="129">
        <f>S46*(1+'Boundary conditions'!$D$44)</f>
        <v>522.0373328090833</v>
      </c>
      <c r="U46" s="129">
        <f>T46*(1+'Boundary conditions'!$D$44)</f>
        <v>542.91882612144661</v>
      </c>
      <c r="V46" s="129">
        <f>U46*(1+'Boundary conditions'!$D$44)</f>
        <v>564.63557916630452</v>
      </c>
      <c r="X46" s="16">
        <f t="shared" si="2"/>
        <v>321.76367089529049</v>
      </c>
      <c r="Y46" s="16">
        <f t="shared" si="1"/>
        <v>399.02625291619563</v>
      </c>
    </row>
    <row r="48" spans="2:25" ht="15" thickBot="1" x14ac:dyDescent="0.35">
      <c r="B48" s="95" t="s">
        <v>261</v>
      </c>
      <c r="F48" s="5"/>
      <c r="G48" s="5"/>
      <c r="H48" s="5"/>
      <c r="I48" s="5"/>
      <c r="J48" s="5"/>
      <c r="K48" s="5"/>
    </row>
    <row r="49" spans="2:27" x14ac:dyDescent="0.3">
      <c r="B49" s="96" t="s">
        <v>262</v>
      </c>
      <c r="C49" s="97" t="s">
        <v>263</v>
      </c>
      <c r="D49" s="98" t="s">
        <v>264</v>
      </c>
    </row>
    <row r="50" spans="2:27" x14ac:dyDescent="0.3">
      <c r="B50" s="99" t="s">
        <v>265</v>
      </c>
      <c r="C50" s="2" t="s">
        <v>266</v>
      </c>
      <c r="D50" s="100" t="s">
        <v>21</v>
      </c>
    </row>
    <row r="51" spans="2:27" x14ac:dyDescent="0.3">
      <c r="B51" s="99" t="s">
        <v>267</v>
      </c>
      <c r="C51" s="2" t="s">
        <v>268</v>
      </c>
      <c r="D51" s="100" t="s">
        <v>190</v>
      </c>
    </row>
    <row r="52" spans="2:27" x14ac:dyDescent="0.3">
      <c r="B52" s="13" t="s">
        <v>269</v>
      </c>
      <c r="C52" t="s">
        <v>270</v>
      </c>
      <c r="D52" s="100" t="s">
        <v>191</v>
      </c>
    </row>
    <row r="53" spans="2:27" ht="15" thickBot="1" x14ac:dyDescent="0.35">
      <c r="B53" s="101" t="s">
        <v>271</v>
      </c>
      <c r="C53" s="102" t="s">
        <v>272</v>
      </c>
      <c r="D53" s="103" t="s">
        <v>192</v>
      </c>
    </row>
    <row r="55" spans="2:27" x14ac:dyDescent="0.3">
      <c r="C55" s="130" t="s">
        <v>273</v>
      </c>
      <c r="D55" s="252" t="s">
        <v>274</v>
      </c>
      <c r="E55" s="252"/>
      <c r="F55" s="252"/>
      <c r="G55" s="252"/>
      <c r="H55" s="252"/>
      <c r="I55" s="252"/>
      <c r="J55" s="252"/>
      <c r="K55" s="252"/>
      <c r="L55" s="252"/>
      <c r="M55" s="252"/>
    </row>
    <row r="56" spans="2:27" x14ac:dyDescent="0.3">
      <c r="C56" s="131">
        <f>'Boundary conditions'!$K$4</f>
        <v>0.04</v>
      </c>
      <c r="D56" s="41" t="str" cm="1">
        <f t="array" ref="D56:D57">'RES Alternatives'!C5:C6</f>
        <v>DH system (reference)</v>
      </c>
      <c r="E56" s="41" t="str" cm="1">
        <f t="array" ref="E56:E57">'RES Alternatives'!D5:D6</f>
        <v>Waste heat + Heat pump</v>
      </c>
      <c r="F56" s="41" t="str" cm="1">
        <f t="array" ref="F56:F57">'RES Alternatives'!E5:E6</f>
        <v>Biomass boiler + Solar thermal</v>
      </c>
      <c r="G56" s="41" t="str" cm="1">
        <f t="array" ref="G56:G57">'RES Alternatives'!F5:F6</f>
        <v>Biomass boiler (wood chips)</v>
      </c>
      <c r="H56" s="41" t="str" cm="1">
        <f t="array" ref="H56:H57">'RES Alternatives'!G5:G6</f>
        <v>Ambient/Geothermal + heat pump</v>
      </c>
      <c r="I56" s="41" t="str" cm="1">
        <f t="array" ref="I56:I57">'RES Alternatives'!H5:H6</f>
        <v>Custom 1</v>
      </c>
      <c r="J56" s="41" t="str" cm="1">
        <f t="array" ref="J56:J57">'RES Alternatives'!I5:I6</f>
        <v>Custom 2</v>
      </c>
      <c r="K56" s="41" t="str" cm="1">
        <f t="array" ref="K56:K57">'RES Alternatives'!J5:J6</f>
        <v>Custom 3</v>
      </c>
      <c r="L56" s="41" t="str" cm="1">
        <f t="array" ref="L56:L57">'RES Alternatives'!K5:K6</f>
        <v>Custom 4</v>
      </c>
      <c r="M56" s="41" t="str" cm="1">
        <f t="array" ref="M56:M57">'RES Alternatives'!L5:L6</f>
        <v>Custom 5</v>
      </c>
    </row>
    <row r="57" spans="2:27" x14ac:dyDescent="0.3">
      <c r="D57" s="55">
        <v>0</v>
      </c>
      <c r="E57" s="55">
        <v>0</v>
      </c>
      <c r="F57" s="55">
        <v>0</v>
      </c>
      <c r="G57" s="55">
        <v>0</v>
      </c>
      <c r="H57" s="55">
        <v>0</v>
      </c>
      <c r="I57" s="55">
        <v>0</v>
      </c>
      <c r="J57" s="55">
        <v>0</v>
      </c>
      <c r="K57" s="55">
        <v>0</v>
      </c>
      <c r="L57" s="15">
        <v>0</v>
      </c>
      <c r="M57" s="15">
        <v>0</v>
      </c>
    </row>
    <row r="58" spans="2:27" x14ac:dyDescent="0.3">
      <c r="C58" s="2" t="s">
        <v>275</v>
      </c>
      <c r="D58" s="9">
        <f>'RES Alternatives'!C60</f>
        <v>0</v>
      </c>
      <c r="E58" s="9">
        <f>'RES Alternatives'!D60</f>
        <v>0</v>
      </c>
      <c r="F58" s="9">
        <f>'RES Alternatives'!E60</f>
        <v>0</v>
      </c>
      <c r="G58" s="9">
        <f>'RES Alternatives'!F60</f>
        <v>0</v>
      </c>
      <c r="H58" s="9">
        <f>'RES Alternatives'!G60</f>
        <v>0</v>
      </c>
      <c r="I58" s="9">
        <f>'RES Alternatives'!H60</f>
        <v>0</v>
      </c>
      <c r="J58" s="9">
        <f>'RES Alternatives'!I60</f>
        <v>0</v>
      </c>
      <c r="K58" s="9">
        <f>'RES Alternatives'!J60</f>
        <v>0</v>
      </c>
      <c r="L58" s="9">
        <f>'RES Alternatives'!K60</f>
        <v>0</v>
      </c>
      <c r="M58" s="9">
        <f>'RES Alternatives'!L60</f>
        <v>0</v>
      </c>
    </row>
    <row r="59" spans="2:27" x14ac:dyDescent="0.3">
      <c r="C59" s="2" t="s">
        <v>157</v>
      </c>
      <c r="D59" s="3">
        <f>'RES Alternatives'!C61</f>
        <v>0</v>
      </c>
      <c r="E59" s="3">
        <f>'RES Alternatives'!D61</f>
        <v>0</v>
      </c>
      <c r="F59" s="3">
        <f>'RES Alternatives'!E61</f>
        <v>0</v>
      </c>
      <c r="G59" s="3">
        <f>'RES Alternatives'!F61</f>
        <v>0</v>
      </c>
      <c r="H59" s="3">
        <f>'RES Alternatives'!G61</f>
        <v>0</v>
      </c>
      <c r="I59" s="3">
        <f>'RES Alternatives'!H61</f>
        <v>0</v>
      </c>
      <c r="J59" s="3">
        <f>'RES Alternatives'!I61</f>
        <v>0</v>
      </c>
      <c r="K59" s="3">
        <f>'RES Alternatives'!J61</f>
        <v>0</v>
      </c>
      <c r="L59" s="3">
        <f>'RES Alternatives'!K61</f>
        <v>0</v>
      </c>
      <c r="M59" s="3">
        <f>'RES Alternatives'!L61</f>
        <v>0</v>
      </c>
    </row>
    <row r="60" spans="2:27" x14ac:dyDescent="0.3">
      <c r="C60" s="2" t="s">
        <v>276</v>
      </c>
      <c r="D60" s="3">
        <f>'RES Alternatives'!C62</f>
        <v>6000000</v>
      </c>
      <c r="E60" s="3">
        <f>'RES Alternatives'!D62</f>
        <v>18000000</v>
      </c>
      <c r="F60" s="3">
        <f>'RES Alternatives'!E62</f>
        <v>15000000</v>
      </c>
      <c r="G60" s="3">
        <f>'RES Alternatives'!F62</f>
        <v>15000000</v>
      </c>
      <c r="H60" s="3">
        <f>'RES Alternatives'!G62</f>
        <v>12000000</v>
      </c>
      <c r="I60" s="3">
        <f>'RES Alternatives'!H62</f>
        <v>10000000</v>
      </c>
      <c r="J60" s="3">
        <f>'RES Alternatives'!I62</f>
        <v>10000000</v>
      </c>
      <c r="K60" s="3">
        <f>'RES Alternatives'!J62</f>
        <v>10000000</v>
      </c>
      <c r="L60" s="3">
        <f>'RES Alternatives'!K62</f>
        <v>10000000</v>
      </c>
      <c r="M60" s="3">
        <f>'RES Alternatives'!L62</f>
        <v>10000000</v>
      </c>
    </row>
    <row r="61" spans="2:27" x14ac:dyDescent="0.3">
      <c r="Z61" s="8"/>
      <c r="AA61" s="146"/>
    </row>
    <row r="62" spans="2:27" x14ac:dyDescent="0.3">
      <c r="C62" s="7" t="s">
        <v>277</v>
      </c>
      <c r="D62" s="19">
        <f>'RES Alternatives'!C63</f>
        <v>15</v>
      </c>
      <c r="E62" s="19">
        <f>'RES Alternatives'!D63</f>
        <v>15</v>
      </c>
      <c r="F62" s="19">
        <f>'RES Alternatives'!E63</f>
        <v>15</v>
      </c>
      <c r="G62" s="19">
        <f>'RES Alternatives'!F63</f>
        <v>15</v>
      </c>
      <c r="H62" s="19">
        <f>'RES Alternatives'!G63</f>
        <v>15</v>
      </c>
      <c r="I62" s="19">
        <f>'RES Alternatives'!H63</f>
        <v>15</v>
      </c>
      <c r="J62" s="19">
        <f>'RES Alternatives'!I63</f>
        <v>15</v>
      </c>
      <c r="K62" s="19">
        <f>'RES Alternatives'!J63</f>
        <v>15</v>
      </c>
      <c r="L62" s="19">
        <f>'RES Alternatives'!K63</f>
        <v>15</v>
      </c>
      <c r="M62" s="19">
        <f>'RES Alternatives'!L63</f>
        <v>15</v>
      </c>
      <c r="Z62" s="8"/>
      <c r="AA62" s="146"/>
    </row>
    <row r="63" spans="2:27" x14ac:dyDescent="0.3">
      <c r="C63" s="7" t="s">
        <v>278</v>
      </c>
      <c r="D63" s="3">
        <f>MAX(10,'RES Alternatives'!C9)</f>
        <v>20</v>
      </c>
      <c r="E63" s="3">
        <f>MAX(10,'RES Alternatives'!D9)</f>
        <v>20</v>
      </c>
      <c r="F63" s="3">
        <f>MAX(10,'RES Alternatives'!E9)</f>
        <v>30</v>
      </c>
      <c r="G63" s="3">
        <f>MAX(10,'RES Alternatives'!F9)</f>
        <v>35</v>
      </c>
      <c r="H63" s="3">
        <f>MAX(10,'RES Alternatives'!G9)</f>
        <v>40</v>
      </c>
      <c r="I63" s="3">
        <f>MAX(10,'RES Alternatives'!H9)</f>
        <v>40</v>
      </c>
      <c r="J63" s="3">
        <f>MAX(10,'RES Alternatives'!I9)</f>
        <v>40</v>
      </c>
      <c r="K63" s="3">
        <f>MAX(10,'RES Alternatives'!J9)</f>
        <v>40</v>
      </c>
      <c r="L63" s="3">
        <f>MAX(10,'RES Alternatives'!K9)</f>
        <v>40</v>
      </c>
      <c r="M63" s="3">
        <f>MAX(10,'RES Alternatives'!L9)</f>
        <v>40</v>
      </c>
      <c r="Z63" s="8"/>
      <c r="AA63" s="146"/>
    </row>
    <row r="64" spans="2:27" x14ac:dyDescent="0.3">
      <c r="C64" s="7" t="s">
        <v>279</v>
      </c>
      <c r="D64" s="45">
        <f>20/D63</f>
        <v>1</v>
      </c>
      <c r="E64" s="45">
        <f t="shared" ref="E64:K64" si="3">20/E63</f>
        <v>1</v>
      </c>
      <c r="F64" s="45">
        <f t="shared" si="3"/>
        <v>0.66666666666666663</v>
      </c>
      <c r="G64" s="45">
        <f t="shared" si="3"/>
        <v>0.5714285714285714</v>
      </c>
      <c r="H64" s="45">
        <f t="shared" si="3"/>
        <v>0.5</v>
      </c>
      <c r="I64" s="45">
        <f t="shared" si="3"/>
        <v>0.5</v>
      </c>
      <c r="J64" s="45">
        <f t="shared" si="3"/>
        <v>0.5</v>
      </c>
      <c r="K64" s="45">
        <f t="shared" si="3"/>
        <v>0.5</v>
      </c>
      <c r="L64" s="45">
        <f>20/L63</f>
        <v>0.5</v>
      </c>
      <c r="M64" s="45">
        <f t="shared" ref="M64" si="4">20/M63</f>
        <v>0.5</v>
      </c>
      <c r="Z64" s="8"/>
      <c r="AA64" s="146"/>
    </row>
    <row r="65" spans="1:27" x14ac:dyDescent="0.3">
      <c r="C65" s="88"/>
      <c r="Z65" s="8"/>
      <c r="AA65" s="146"/>
    </row>
    <row r="66" spans="1:27" x14ac:dyDescent="0.3">
      <c r="C66" s="7" t="s">
        <v>280</v>
      </c>
      <c r="D66" s="69">
        <f>1-MOD(20,D63)/D63</f>
        <v>1</v>
      </c>
      <c r="E66" s="69">
        <f t="shared" ref="E66:L66" si="5">1-MOD(20,E63)/E63</f>
        <v>1</v>
      </c>
      <c r="F66" s="69">
        <f t="shared" si="5"/>
        <v>0.33333333333333337</v>
      </c>
      <c r="G66" s="69">
        <f t="shared" si="5"/>
        <v>0.4285714285714286</v>
      </c>
      <c r="H66" s="69">
        <f t="shared" si="5"/>
        <v>0.5</v>
      </c>
      <c r="I66" s="69">
        <f t="shared" si="5"/>
        <v>0.5</v>
      </c>
      <c r="J66" s="69">
        <f t="shared" si="5"/>
        <v>0.5</v>
      </c>
      <c r="K66" s="69">
        <f t="shared" si="5"/>
        <v>0.5</v>
      </c>
      <c r="L66" s="69">
        <f t="shared" si="5"/>
        <v>0.5</v>
      </c>
      <c r="M66" s="69">
        <f t="shared" ref="M66" si="6">1-MOD(20,M63)/M63</f>
        <v>0.5</v>
      </c>
      <c r="Z66" s="8"/>
      <c r="AA66" s="146"/>
    </row>
    <row r="67" spans="1:27" x14ac:dyDescent="0.3">
      <c r="C67" s="89" t="s">
        <v>281</v>
      </c>
      <c r="D67" s="24">
        <f t="shared" ref="D67:I67" si="7">IF(D60=0,0,-PMT($C$56,D$62,D60))</f>
        <v>539646.60222583916</v>
      </c>
      <c r="E67" s="24">
        <f t="shared" si="7"/>
        <v>1618939.8066775177</v>
      </c>
      <c r="F67" s="24">
        <f t="shared" si="7"/>
        <v>1349116.5055645979</v>
      </c>
      <c r="G67" s="24">
        <f t="shared" si="7"/>
        <v>1349116.5055645979</v>
      </c>
      <c r="H67" s="24">
        <f t="shared" si="7"/>
        <v>1079293.2044516783</v>
      </c>
      <c r="I67" s="24">
        <f t="shared" si="7"/>
        <v>899411.00370973186</v>
      </c>
      <c r="J67" s="24">
        <f>-PMT($C$56,J$62,J60)</f>
        <v>899411.00370973186</v>
      </c>
      <c r="K67" s="24">
        <f>-PMT($C$56,K$62,K60)</f>
        <v>899411.00370973186</v>
      </c>
      <c r="L67" s="24">
        <f>-PMT($C$56,L$62,L60)</f>
        <v>899411.00370973186</v>
      </c>
      <c r="M67" s="24">
        <f>-PMT($C$56,M$62,M60)</f>
        <v>899411.00370973186</v>
      </c>
      <c r="Z67" s="8"/>
      <c r="AA67" s="146"/>
    </row>
    <row r="68" spans="1:27" x14ac:dyDescent="0.3">
      <c r="C68" s="7" t="s">
        <v>282</v>
      </c>
      <c r="D68" s="21">
        <f t="shared" ref="D68:M68" si="8">-PMT($C$56,D$62,D60+D59)</f>
        <v>539646.60222583916</v>
      </c>
      <c r="E68" s="21">
        <f t="shared" si="8"/>
        <v>1618939.8066775177</v>
      </c>
      <c r="F68" s="21">
        <f t="shared" si="8"/>
        <v>1349116.5055645979</v>
      </c>
      <c r="G68" s="21">
        <f t="shared" si="8"/>
        <v>1349116.5055645979</v>
      </c>
      <c r="H68" s="21">
        <f t="shared" si="8"/>
        <v>1079293.2044516783</v>
      </c>
      <c r="I68" s="21">
        <f t="shared" si="8"/>
        <v>899411.00370973186</v>
      </c>
      <c r="J68" s="21">
        <f t="shared" si="8"/>
        <v>899411.00370973186</v>
      </c>
      <c r="K68" s="21">
        <f t="shared" si="8"/>
        <v>899411.00370973186</v>
      </c>
      <c r="L68" s="21">
        <f t="shared" si="8"/>
        <v>899411.00370973186</v>
      </c>
      <c r="M68" s="21">
        <f t="shared" si="8"/>
        <v>899411.00370973186</v>
      </c>
      <c r="Z68" s="8"/>
      <c r="AA68" s="146"/>
    </row>
    <row r="69" spans="1:27" x14ac:dyDescent="0.3">
      <c r="C69" s="7" t="s">
        <v>283</v>
      </c>
      <c r="D69" s="21">
        <f t="shared" ref="D69:L69" si="9">D68*D62</f>
        <v>8094699.0333875874</v>
      </c>
      <c r="E69" s="21">
        <f t="shared" si="9"/>
        <v>24284097.100162767</v>
      </c>
      <c r="F69" s="21">
        <f t="shared" si="9"/>
        <v>20236747.58346897</v>
      </c>
      <c r="G69" s="21">
        <f t="shared" si="9"/>
        <v>20236747.58346897</v>
      </c>
      <c r="H69" s="21">
        <f t="shared" si="9"/>
        <v>16189398.066775175</v>
      </c>
      <c r="I69" s="21">
        <f t="shared" si="9"/>
        <v>13491165.055645978</v>
      </c>
      <c r="J69" s="21">
        <f t="shared" si="9"/>
        <v>13491165.055645978</v>
      </c>
      <c r="K69" s="21">
        <f t="shared" si="9"/>
        <v>13491165.055645978</v>
      </c>
      <c r="L69" s="21">
        <f t="shared" si="9"/>
        <v>13491165.055645978</v>
      </c>
      <c r="M69" s="21">
        <f t="shared" ref="M69" si="10">M68*M62</f>
        <v>13491165.055645978</v>
      </c>
      <c r="Z69" s="8"/>
      <c r="AA69" s="146"/>
    </row>
    <row r="70" spans="1:27" x14ac:dyDescent="0.3">
      <c r="B70" s="148" t="s">
        <v>284</v>
      </c>
      <c r="C70" s="7" t="s">
        <v>285</v>
      </c>
      <c r="D70" s="21">
        <f>D66*D63</f>
        <v>20</v>
      </c>
      <c r="E70" s="21">
        <f t="shared" ref="E70:L70" si="11">E66*E63</f>
        <v>20</v>
      </c>
      <c r="F70" s="21">
        <f t="shared" si="11"/>
        <v>10.000000000000002</v>
      </c>
      <c r="G70" s="21">
        <f t="shared" si="11"/>
        <v>15.000000000000002</v>
      </c>
      <c r="H70" s="21">
        <f t="shared" si="11"/>
        <v>20</v>
      </c>
      <c r="I70" s="21">
        <f t="shared" si="11"/>
        <v>20</v>
      </c>
      <c r="J70" s="21">
        <f t="shared" si="11"/>
        <v>20</v>
      </c>
      <c r="K70" s="21">
        <f t="shared" si="11"/>
        <v>20</v>
      </c>
      <c r="L70" s="21">
        <f t="shared" si="11"/>
        <v>20</v>
      </c>
      <c r="M70" s="21">
        <f t="shared" ref="M70" si="12">M66*M63</f>
        <v>20</v>
      </c>
      <c r="Z70" s="8"/>
      <c r="AA70" s="146"/>
    </row>
    <row r="71" spans="1:27" x14ac:dyDescent="0.3">
      <c r="C71" s="7" t="s">
        <v>286</v>
      </c>
      <c r="D71" s="3">
        <f t="shared" ref="D71:K71" si="13">D70/D63*(D59+D60)/(1-D58)</f>
        <v>6000000</v>
      </c>
      <c r="E71" s="3">
        <f t="shared" si="13"/>
        <v>18000000</v>
      </c>
      <c r="F71" s="3">
        <f t="shared" si="13"/>
        <v>5000000.0000000009</v>
      </c>
      <c r="G71" s="3">
        <f t="shared" si="13"/>
        <v>6428571.4285714291</v>
      </c>
      <c r="H71" s="3">
        <f t="shared" si="13"/>
        <v>6000000</v>
      </c>
      <c r="I71" s="3">
        <f t="shared" si="13"/>
        <v>5000000</v>
      </c>
      <c r="J71" s="3">
        <f t="shared" si="13"/>
        <v>5000000</v>
      </c>
      <c r="K71" s="3">
        <f t="shared" si="13"/>
        <v>5000000</v>
      </c>
      <c r="L71" s="3">
        <f>L70/L63*(L59+L60)/(1-L58)</f>
        <v>5000000</v>
      </c>
      <c r="M71" s="3">
        <f t="shared" ref="M71" si="14">M70/M63*(M59+M60)/(1-M58)</f>
        <v>5000000</v>
      </c>
      <c r="Z71" s="8"/>
      <c r="AA71" s="146"/>
    </row>
    <row r="72" spans="1:27" x14ac:dyDescent="0.3">
      <c r="B72" s="148" t="s">
        <v>287</v>
      </c>
      <c r="C72" s="7" t="s">
        <v>288</v>
      </c>
      <c r="D72" s="3">
        <f>IF(OR(D64=1,D64=2),0,IF(D64&lt;1,IF(D62&lt;20,D71,D71-(D67*D62-(20)*D67)),IF((20-D63)&gt;D62,D71,D71-(D69-(20-D63)*D68))))</f>
        <v>0</v>
      </c>
      <c r="E72" s="3">
        <f t="shared" ref="E72:M72" si="15">IF(OR(E64=1,E64=2),0,IF(E64&lt;1,IF(E62&lt;20,E71,E71-(E67*E62-(20)*E67)),IF((20-E63)&gt;E62,E71,E71-(E69-(20-E63)*E68))))</f>
        <v>0</v>
      </c>
      <c r="F72" s="3">
        <f t="shared" si="15"/>
        <v>5000000.0000000009</v>
      </c>
      <c r="G72" s="3">
        <f t="shared" si="15"/>
        <v>6428571.4285714291</v>
      </c>
      <c r="H72" s="3">
        <f t="shared" si="15"/>
        <v>6000000</v>
      </c>
      <c r="I72" s="3">
        <f t="shared" si="15"/>
        <v>5000000</v>
      </c>
      <c r="J72" s="3">
        <f t="shared" si="15"/>
        <v>5000000</v>
      </c>
      <c r="K72" s="3">
        <f t="shared" si="15"/>
        <v>5000000</v>
      </c>
      <c r="L72" s="3">
        <f t="shared" si="15"/>
        <v>5000000</v>
      </c>
      <c r="M72" s="3">
        <f t="shared" si="15"/>
        <v>5000000</v>
      </c>
      <c r="Z72" s="8"/>
      <c r="AA72" s="146"/>
    </row>
    <row r="73" spans="1:27" x14ac:dyDescent="0.3">
      <c r="B73" s="148" t="s">
        <v>289</v>
      </c>
      <c r="C73" s="88" t="s">
        <v>290</v>
      </c>
      <c r="D73" s="3">
        <f>D68*MAX(0,(D62-20))</f>
        <v>0</v>
      </c>
      <c r="E73" s="3">
        <f t="shared" ref="E73:M73" si="16">E68*MAX(0,(E62-20))</f>
        <v>0</v>
      </c>
      <c r="F73" s="3">
        <f t="shared" si="16"/>
        <v>0</v>
      </c>
      <c r="G73" s="3">
        <f t="shared" si="16"/>
        <v>0</v>
      </c>
      <c r="H73" s="3">
        <f t="shared" si="16"/>
        <v>0</v>
      </c>
      <c r="I73" s="3">
        <f t="shared" si="16"/>
        <v>0</v>
      </c>
      <c r="J73" s="3">
        <f t="shared" si="16"/>
        <v>0</v>
      </c>
      <c r="K73" s="3">
        <f t="shared" si="16"/>
        <v>0</v>
      </c>
      <c r="L73" s="3">
        <f t="shared" si="16"/>
        <v>0</v>
      </c>
      <c r="M73" s="3">
        <f t="shared" si="16"/>
        <v>0</v>
      </c>
    </row>
    <row r="74" spans="1:27" x14ac:dyDescent="0.3">
      <c r="C74" s="12" t="s">
        <v>255</v>
      </c>
      <c r="D74" s="253" t="s">
        <v>291</v>
      </c>
      <c r="E74" s="254"/>
      <c r="F74" s="254"/>
      <c r="G74" s="254"/>
      <c r="H74" s="254"/>
      <c r="I74" s="254"/>
      <c r="J74" s="254"/>
      <c r="K74" s="254"/>
      <c r="L74" s="254"/>
      <c r="M74" s="255"/>
      <c r="S74" s="23"/>
      <c r="T74" s="8"/>
      <c r="U74" s="8"/>
      <c r="V74" s="23"/>
      <c r="W74" s="23"/>
      <c r="X74" s="23"/>
      <c r="Y74" s="23"/>
    </row>
    <row r="75" spans="1:27" x14ac:dyDescent="0.3">
      <c r="A75" s="58"/>
      <c r="C75" s="27">
        <v>1</v>
      </c>
      <c r="D75" s="28">
        <f t="shared" ref="D75:M75" si="17">D67+D59</f>
        <v>539646.60222583916</v>
      </c>
      <c r="E75" s="28">
        <f t="shared" si="17"/>
        <v>1618939.8066775177</v>
      </c>
      <c r="F75" s="28">
        <f t="shared" si="17"/>
        <v>1349116.5055645979</v>
      </c>
      <c r="G75" s="28">
        <f t="shared" si="17"/>
        <v>1349116.5055645979</v>
      </c>
      <c r="H75" s="28">
        <f t="shared" si="17"/>
        <v>1079293.2044516783</v>
      </c>
      <c r="I75" s="28">
        <f t="shared" si="17"/>
        <v>899411.00370973186</v>
      </c>
      <c r="J75" s="28">
        <f t="shared" si="17"/>
        <v>899411.00370973186</v>
      </c>
      <c r="K75" s="28">
        <f t="shared" si="17"/>
        <v>899411.00370973186</v>
      </c>
      <c r="L75" s="28">
        <f t="shared" si="17"/>
        <v>899411.00370973186</v>
      </c>
      <c r="M75" s="28">
        <f t="shared" si="17"/>
        <v>899411.00370973186</v>
      </c>
      <c r="Q75" s="23"/>
      <c r="R75" s="23"/>
      <c r="AA75" s="147"/>
    </row>
    <row r="76" spans="1:27" x14ac:dyDescent="0.3">
      <c r="A76" s="58"/>
      <c r="B76" s="141"/>
      <c r="C76" s="27">
        <v>2</v>
      </c>
      <c r="D76" s="28">
        <f>IF($C76-$C$75&lt;D$63,IF($C76-$C$75&lt;D$62,D$67,0),IF($C76-$C$75-D$63&lt;D$62,D$68,0))</f>
        <v>539646.60222583916</v>
      </c>
      <c r="E76" s="28">
        <f t="shared" ref="D76:M85" si="18">IF($C76-$C$75&lt;E$63,IF($C76-$C$75&lt;E$62,E$67,0),IF($C76-$C$75-E$63&lt;E$62,E$68,0))</f>
        <v>1618939.8066775177</v>
      </c>
      <c r="F76" s="28">
        <f t="shared" si="18"/>
        <v>1349116.5055645979</v>
      </c>
      <c r="G76" s="28">
        <f t="shared" si="18"/>
        <v>1349116.5055645979</v>
      </c>
      <c r="H76" s="28">
        <f t="shared" si="18"/>
        <v>1079293.2044516783</v>
      </c>
      <c r="I76" s="28">
        <f t="shared" si="18"/>
        <v>899411.00370973186</v>
      </c>
      <c r="J76" s="28">
        <f t="shared" si="18"/>
        <v>899411.00370973186</v>
      </c>
      <c r="K76" s="28">
        <f t="shared" si="18"/>
        <v>899411.00370973186</v>
      </c>
      <c r="L76" s="28">
        <f t="shared" si="18"/>
        <v>899411.00370973186</v>
      </c>
      <c r="M76" s="28">
        <f t="shared" si="18"/>
        <v>899411.00370973186</v>
      </c>
      <c r="Q76" s="23"/>
      <c r="R76" s="23"/>
      <c r="S76" s="23"/>
      <c r="T76" s="143"/>
      <c r="U76" s="8"/>
      <c r="V76" s="11"/>
      <c r="W76" s="23"/>
      <c r="X76" s="40"/>
      <c r="AA76" s="147"/>
    </row>
    <row r="77" spans="1:27" x14ac:dyDescent="0.3">
      <c r="A77" s="58"/>
      <c r="B77" s="141"/>
      <c r="C77" s="27">
        <v>3</v>
      </c>
      <c r="D77" s="28">
        <f t="shared" si="18"/>
        <v>539646.60222583916</v>
      </c>
      <c r="E77" s="28">
        <f t="shared" si="18"/>
        <v>1618939.8066775177</v>
      </c>
      <c r="F77" s="28">
        <f t="shared" si="18"/>
        <v>1349116.5055645979</v>
      </c>
      <c r="G77" s="28">
        <f t="shared" si="18"/>
        <v>1349116.5055645979</v>
      </c>
      <c r="H77" s="28">
        <f t="shared" si="18"/>
        <v>1079293.2044516783</v>
      </c>
      <c r="I77" s="28">
        <f t="shared" si="18"/>
        <v>899411.00370973186</v>
      </c>
      <c r="J77" s="28">
        <f t="shared" si="18"/>
        <v>899411.00370973186</v>
      </c>
      <c r="K77" s="28">
        <f t="shared" si="18"/>
        <v>899411.00370973186</v>
      </c>
      <c r="L77" s="28">
        <f t="shared" si="18"/>
        <v>899411.00370973186</v>
      </c>
      <c r="M77" s="28">
        <f t="shared" si="18"/>
        <v>899411.00370973186</v>
      </c>
      <c r="Q77" s="23"/>
      <c r="R77" s="23"/>
      <c r="S77" s="23"/>
      <c r="T77" s="143"/>
      <c r="U77" s="8"/>
      <c r="V77" s="11"/>
      <c r="W77" s="23"/>
      <c r="X77" s="40"/>
      <c r="AA77" s="147"/>
    </row>
    <row r="78" spans="1:27" x14ac:dyDescent="0.3">
      <c r="A78" s="58"/>
      <c r="B78" s="141"/>
      <c r="C78" s="27">
        <v>4</v>
      </c>
      <c r="D78" s="28">
        <f t="shared" si="18"/>
        <v>539646.60222583916</v>
      </c>
      <c r="E78" s="28">
        <f t="shared" si="18"/>
        <v>1618939.8066775177</v>
      </c>
      <c r="F78" s="28">
        <f t="shared" si="18"/>
        <v>1349116.5055645979</v>
      </c>
      <c r="G78" s="28">
        <f t="shared" si="18"/>
        <v>1349116.5055645979</v>
      </c>
      <c r="H78" s="28">
        <f t="shared" si="18"/>
        <v>1079293.2044516783</v>
      </c>
      <c r="I78" s="28">
        <f t="shared" si="18"/>
        <v>899411.00370973186</v>
      </c>
      <c r="J78" s="28">
        <f t="shared" si="18"/>
        <v>899411.00370973186</v>
      </c>
      <c r="K78" s="28">
        <f t="shared" si="18"/>
        <v>899411.00370973186</v>
      </c>
      <c r="L78" s="28">
        <f t="shared" si="18"/>
        <v>899411.00370973186</v>
      </c>
      <c r="M78" s="28">
        <f t="shared" si="18"/>
        <v>899411.00370973186</v>
      </c>
      <c r="Q78" s="23"/>
      <c r="R78" s="23"/>
      <c r="S78" s="23"/>
      <c r="T78" s="143"/>
      <c r="U78" s="8"/>
      <c r="V78" s="11"/>
      <c r="W78" s="23"/>
      <c r="X78" s="40"/>
      <c r="AA78" s="147"/>
    </row>
    <row r="79" spans="1:27" x14ac:dyDescent="0.3">
      <c r="A79" s="58"/>
      <c r="B79" s="141"/>
      <c r="C79" s="27">
        <v>5</v>
      </c>
      <c r="D79" s="28">
        <f t="shared" si="18"/>
        <v>539646.60222583916</v>
      </c>
      <c r="E79" s="28">
        <f t="shared" si="18"/>
        <v>1618939.8066775177</v>
      </c>
      <c r="F79" s="28">
        <f t="shared" si="18"/>
        <v>1349116.5055645979</v>
      </c>
      <c r="G79" s="28">
        <f t="shared" si="18"/>
        <v>1349116.5055645979</v>
      </c>
      <c r="H79" s="28">
        <f t="shared" si="18"/>
        <v>1079293.2044516783</v>
      </c>
      <c r="I79" s="28">
        <f t="shared" si="18"/>
        <v>899411.00370973186</v>
      </c>
      <c r="J79" s="28">
        <f t="shared" si="18"/>
        <v>899411.00370973186</v>
      </c>
      <c r="K79" s="28">
        <f t="shared" si="18"/>
        <v>899411.00370973186</v>
      </c>
      <c r="L79" s="28">
        <f t="shared" si="18"/>
        <v>899411.00370973186</v>
      </c>
      <c r="M79" s="28">
        <f t="shared" si="18"/>
        <v>899411.00370973186</v>
      </c>
      <c r="Q79" s="23"/>
      <c r="R79" s="23"/>
      <c r="S79" s="23"/>
      <c r="T79" s="143"/>
      <c r="U79" s="8"/>
      <c r="V79" s="11"/>
      <c r="W79" s="23"/>
      <c r="X79" s="40"/>
      <c r="AA79" s="147"/>
    </row>
    <row r="80" spans="1:27" x14ac:dyDescent="0.3">
      <c r="A80" s="58"/>
      <c r="B80" s="141"/>
      <c r="C80" s="27">
        <v>6</v>
      </c>
      <c r="D80" s="28">
        <f t="shared" si="18"/>
        <v>539646.60222583916</v>
      </c>
      <c r="E80" s="28">
        <f t="shared" si="18"/>
        <v>1618939.8066775177</v>
      </c>
      <c r="F80" s="28">
        <f t="shared" si="18"/>
        <v>1349116.5055645979</v>
      </c>
      <c r="G80" s="28">
        <f t="shared" si="18"/>
        <v>1349116.5055645979</v>
      </c>
      <c r="H80" s="28">
        <f t="shared" si="18"/>
        <v>1079293.2044516783</v>
      </c>
      <c r="I80" s="28">
        <f t="shared" si="18"/>
        <v>899411.00370973186</v>
      </c>
      <c r="J80" s="28">
        <f t="shared" si="18"/>
        <v>899411.00370973186</v>
      </c>
      <c r="K80" s="28">
        <f t="shared" si="18"/>
        <v>899411.00370973186</v>
      </c>
      <c r="L80" s="28">
        <f t="shared" si="18"/>
        <v>899411.00370973186</v>
      </c>
      <c r="M80" s="28">
        <f t="shared" si="18"/>
        <v>899411.00370973186</v>
      </c>
      <c r="Q80" s="23"/>
      <c r="R80" s="23"/>
      <c r="S80" s="23"/>
      <c r="T80" s="142"/>
      <c r="U80" s="144"/>
      <c r="V80" s="11"/>
      <c r="W80" s="23"/>
      <c r="X80" s="40"/>
      <c r="AA80" s="147"/>
    </row>
    <row r="81" spans="1:27" x14ac:dyDescent="0.3">
      <c r="A81" s="58"/>
      <c r="B81" s="141"/>
      <c r="C81" s="27">
        <v>7</v>
      </c>
      <c r="D81" s="28">
        <f>IF($C81-$C$75&lt;D$63,IF($C81-$C$75&lt;D$62,D$67,0),IF($C81-$C$75-D$63&lt;D$62,D$68,0))</f>
        <v>539646.60222583916</v>
      </c>
      <c r="E81" s="28">
        <f t="shared" si="18"/>
        <v>1618939.8066775177</v>
      </c>
      <c r="F81" s="28">
        <f t="shared" si="18"/>
        <v>1349116.5055645979</v>
      </c>
      <c r="G81" s="28">
        <f t="shared" si="18"/>
        <v>1349116.5055645979</v>
      </c>
      <c r="H81" s="28">
        <f t="shared" si="18"/>
        <v>1079293.2044516783</v>
      </c>
      <c r="I81" s="28">
        <f t="shared" si="18"/>
        <v>899411.00370973186</v>
      </c>
      <c r="J81" s="28">
        <f t="shared" si="18"/>
        <v>899411.00370973186</v>
      </c>
      <c r="K81" s="28">
        <f t="shared" si="18"/>
        <v>899411.00370973186</v>
      </c>
      <c r="L81" s="28">
        <f t="shared" si="18"/>
        <v>899411.00370973186</v>
      </c>
      <c r="M81" s="28">
        <f t="shared" si="18"/>
        <v>899411.00370973186</v>
      </c>
      <c r="Q81" s="23"/>
      <c r="R81" s="23"/>
      <c r="S81" s="23"/>
      <c r="T81" s="142"/>
      <c r="U81" s="144"/>
      <c r="V81" s="11"/>
      <c r="W81" s="23"/>
      <c r="X81" s="40"/>
      <c r="AA81" s="147"/>
    </row>
    <row r="82" spans="1:27" x14ac:dyDescent="0.3">
      <c r="A82" s="58"/>
      <c r="B82" s="141"/>
      <c r="C82" s="27">
        <v>8</v>
      </c>
      <c r="D82" s="28">
        <f t="shared" si="18"/>
        <v>539646.60222583916</v>
      </c>
      <c r="E82" s="28">
        <f t="shared" si="18"/>
        <v>1618939.8066775177</v>
      </c>
      <c r="F82" s="28">
        <f t="shared" si="18"/>
        <v>1349116.5055645979</v>
      </c>
      <c r="G82" s="28">
        <f t="shared" si="18"/>
        <v>1349116.5055645979</v>
      </c>
      <c r="H82" s="28">
        <f t="shared" si="18"/>
        <v>1079293.2044516783</v>
      </c>
      <c r="I82" s="28">
        <f t="shared" si="18"/>
        <v>899411.00370973186</v>
      </c>
      <c r="J82" s="28">
        <f t="shared" si="18"/>
        <v>899411.00370973186</v>
      </c>
      <c r="K82" s="28">
        <f t="shared" si="18"/>
        <v>899411.00370973186</v>
      </c>
      <c r="L82" s="28">
        <f t="shared" si="18"/>
        <v>899411.00370973186</v>
      </c>
      <c r="M82" s="28">
        <f t="shared" si="18"/>
        <v>899411.00370973186</v>
      </c>
      <c r="Q82" s="23"/>
      <c r="R82" s="23"/>
      <c r="S82" s="23"/>
      <c r="T82" s="142"/>
      <c r="U82" s="8"/>
      <c r="V82" s="11"/>
      <c r="W82" s="23"/>
      <c r="X82" s="145"/>
      <c r="AA82" s="147"/>
    </row>
    <row r="83" spans="1:27" x14ac:dyDescent="0.3">
      <c r="A83" s="58"/>
      <c r="B83" s="141"/>
      <c r="C83" s="27">
        <v>9</v>
      </c>
      <c r="D83" s="28">
        <f t="shared" si="18"/>
        <v>539646.60222583916</v>
      </c>
      <c r="E83" s="28">
        <f t="shared" si="18"/>
        <v>1618939.8066775177</v>
      </c>
      <c r="F83" s="28">
        <f t="shared" si="18"/>
        <v>1349116.5055645979</v>
      </c>
      <c r="G83" s="28">
        <f t="shared" si="18"/>
        <v>1349116.5055645979</v>
      </c>
      <c r="H83" s="28">
        <f t="shared" si="18"/>
        <v>1079293.2044516783</v>
      </c>
      <c r="I83" s="28">
        <f t="shared" si="18"/>
        <v>899411.00370973186</v>
      </c>
      <c r="J83" s="28">
        <f t="shared" si="18"/>
        <v>899411.00370973186</v>
      </c>
      <c r="K83" s="28">
        <f t="shared" si="18"/>
        <v>899411.00370973186</v>
      </c>
      <c r="L83" s="28">
        <f t="shared" si="18"/>
        <v>899411.00370973186</v>
      </c>
      <c r="M83" s="28">
        <f t="shared" si="18"/>
        <v>899411.00370973186</v>
      </c>
      <c r="Q83" s="23"/>
      <c r="R83" s="23"/>
      <c r="S83" s="23"/>
      <c r="T83" s="142"/>
      <c r="U83" s="8"/>
      <c r="V83" s="11"/>
      <c r="W83" s="23"/>
      <c r="X83" s="145"/>
      <c r="AA83" s="147"/>
    </row>
    <row r="84" spans="1:27" x14ac:dyDescent="0.3">
      <c r="A84" s="58"/>
      <c r="B84" s="141"/>
      <c r="C84" s="27">
        <v>10</v>
      </c>
      <c r="D84" s="28">
        <f t="shared" si="18"/>
        <v>539646.60222583916</v>
      </c>
      <c r="E84" s="28">
        <f t="shared" si="18"/>
        <v>1618939.8066775177</v>
      </c>
      <c r="F84" s="28">
        <f t="shared" si="18"/>
        <v>1349116.5055645979</v>
      </c>
      <c r="G84" s="28">
        <f t="shared" si="18"/>
        <v>1349116.5055645979</v>
      </c>
      <c r="H84" s="28">
        <f t="shared" si="18"/>
        <v>1079293.2044516783</v>
      </c>
      <c r="I84" s="28">
        <f t="shared" si="18"/>
        <v>899411.00370973186</v>
      </c>
      <c r="J84" s="28">
        <f t="shared" si="18"/>
        <v>899411.00370973186</v>
      </c>
      <c r="K84" s="28">
        <f t="shared" si="18"/>
        <v>899411.00370973186</v>
      </c>
      <c r="L84" s="28">
        <f t="shared" si="18"/>
        <v>899411.00370973186</v>
      </c>
      <c r="M84" s="28">
        <f t="shared" si="18"/>
        <v>899411.00370973186</v>
      </c>
      <c r="Q84" s="23"/>
      <c r="R84" s="23"/>
      <c r="S84" s="23"/>
      <c r="T84" s="142"/>
      <c r="U84" s="8"/>
      <c r="V84" s="11"/>
      <c r="W84" s="23"/>
      <c r="X84" s="145"/>
      <c r="AA84" s="147"/>
    </row>
    <row r="85" spans="1:27" x14ac:dyDescent="0.3">
      <c r="A85" s="23"/>
      <c r="B85" s="141"/>
      <c r="C85" s="27">
        <v>11</v>
      </c>
      <c r="D85" s="28">
        <f t="shared" si="18"/>
        <v>539646.60222583916</v>
      </c>
      <c r="E85" s="28">
        <f t="shared" si="18"/>
        <v>1618939.8066775177</v>
      </c>
      <c r="F85" s="28">
        <f t="shared" si="18"/>
        <v>1349116.5055645979</v>
      </c>
      <c r="G85" s="28">
        <f t="shared" si="18"/>
        <v>1349116.5055645979</v>
      </c>
      <c r="H85" s="28">
        <f t="shared" si="18"/>
        <v>1079293.2044516783</v>
      </c>
      <c r="I85" s="28">
        <f t="shared" si="18"/>
        <v>899411.00370973186</v>
      </c>
      <c r="J85" s="28">
        <f t="shared" si="18"/>
        <v>899411.00370973186</v>
      </c>
      <c r="K85" s="28">
        <f t="shared" si="18"/>
        <v>899411.00370973186</v>
      </c>
      <c r="L85" s="28">
        <f t="shared" si="18"/>
        <v>899411.00370973186</v>
      </c>
      <c r="M85" s="28">
        <f t="shared" si="18"/>
        <v>899411.00370973186</v>
      </c>
      <c r="Q85" s="23"/>
      <c r="R85" s="23"/>
      <c r="S85" s="23"/>
      <c r="T85" s="142"/>
      <c r="U85" s="8"/>
      <c r="V85" s="11"/>
      <c r="W85" s="23"/>
      <c r="X85" s="145"/>
      <c r="AA85" s="147"/>
    </row>
    <row r="86" spans="1:27" x14ac:dyDescent="0.3">
      <c r="A86" s="23"/>
      <c r="B86" s="141"/>
      <c r="C86" s="27">
        <v>12</v>
      </c>
      <c r="D86" s="28">
        <f t="shared" ref="D86:M93" si="19">IF($C86-$C$75&lt;D$63,IF($C86-$C$75&lt;D$62,D$67,0),IF($C86-$C$75-D$63&lt;D$62,D$68,0))</f>
        <v>539646.60222583916</v>
      </c>
      <c r="E86" s="28">
        <f t="shared" si="19"/>
        <v>1618939.8066775177</v>
      </c>
      <c r="F86" s="28">
        <f t="shared" si="19"/>
        <v>1349116.5055645979</v>
      </c>
      <c r="G86" s="28">
        <f t="shared" si="19"/>
        <v>1349116.5055645979</v>
      </c>
      <c r="H86" s="28">
        <f t="shared" si="19"/>
        <v>1079293.2044516783</v>
      </c>
      <c r="I86" s="28">
        <f t="shared" si="19"/>
        <v>899411.00370973186</v>
      </c>
      <c r="J86" s="28">
        <f t="shared" si="19"/>
        <v>899411.00370973186</v>
      </c>
      <c r="K86" s="28">
        <f t="shared" si="19"/>
        <v>899411.00370973186</v>
      </c>
      <c r="L86" s="28">
        <f t="shared" si="19"/>
        <v>899411.00370973186</v>
      </c>
      <c r="M86" s="28">
        <f t="shared" si="19"/>
        <v>899411.00370973186</v>
      </c>
      <c r="Q86" s="23"/>
      <c r="R86" s="23"/>
      <c r="S86" s="23"/>
      <c r="T86" s="142"/>
      <c r="U86" s="8"/>
      <c r="V86" s="11"/>
      <c r="W86" s="23"/>
      <c r="X86" s="145"/>
      <c r="AA86" s="147"/>
    </row>
    <row r="87" spans="1:27" x14ac:dyDescent="0.3">
      <c r="A87" s="23"/>
      <c r="B87" s="141"/>
      <c r="C87" s="27">
        <v>13</v>
      </c>
      <c r="D87" s="28">
        <f t="shared" si="19"/>
        <v>539646.60222583916</v>
      </c>
      <c r="E87" s="28">
        <f t="shared" si="19"/>
        <v>1618939.8066775177</v>
      </c>
      <c r="F87" s="28">
        <f t="shared" si="19"/>
        <v>1349116.5055645979</v>
      </c>
      <c r="G87" s="28">
        <f t="shared" si="19"/>
        <v>1349116.5055645979</v>
      </c>
      <c r="H87" s="28">
        <f t="shared" si="19"/>
        <v>1079293.2044516783</v>
      </c>
      <c r="I87" s="28">
        <f t="shared" si="19"/>
        <v>899411.00370973186</v>
      </c>
      <c r="J87" s="28">
        <f t="shared" si="19"/>
        <v>899411.00370973186</v>
      </c>
      <c r="K87" s="28">
        <f t="shared" si="19"/>
        <v>899411.00370973186</v>
      </c>
      <c r="L87" s="28">
        <f t="shared" si="19"/>
        <v>899411.00370973186</v>
      </c>
      <c r="M87" s="28">
        <f t="shared" si="19"/>
        <v>899411.00370973186</v>
      </c>
      <c r="Q87" s="23"/>
      <c r="R87" s="23"/>
      <c r="S87" s="23"/>
      <c r="T87" s="142"/>
      <c r="U87" s="8"/>
      <c r="V87" s="11"/>
      <c r="W87" s="23"/>
      <c r="X87" s="40"/>
      <c r="AA87" s="147"/>
    </row>
    <row r="88" spans="1:27" x14ac:dyDescent="0.3">
      <c r="A88" s="23"/>
      <c r="B88" s="141"/>
      <c r="C88" s="27">
        <v>14</v>
      </c>
      <c r="D88" s="28">
        <f t="shared" si="19"/>
        <v>539646.60222583916</v>
      </c>
      <c r="E88" s="28">
        <f t="shared" si="19"/>
        <v>1618939.8066775177</v>
      </c>
      <c r="F88" s="28">
        <f t="shared" si="19"/>
        <v>1349116.5055645979</v>
      </c>
      <c r="G88" s="28">
        <f t="shared" si="19"/>
        <v>1349116.5055645979</v>
      </c>
      <c r="H88" s="28">
        <f t="shared" si="19"/>
        <v>1079293.2044516783</v>
      </c>
      <c r="I88" s="28">
        <f t="shared" si="19"/>
        <v>899411.00370973186</v>
      </c>
      <c r="J88" s="28">
        <f t="shared" si="19"/>
        <v>899411.00370973186</v>
      </c>
      <c r="K88" s="28">
        <f t="shared" si="19"/>
        <v>899411.00370973186</v>
      </c>
      <c r="L88" s="28">
        <f t="shared" si="19"/>
        <v>899411.00370973186</v>
      </c>
      <c r="M88" s="28">
        <f t="shared" si="19"/>
        <v>899411.00370973186</v>
      </c>
      <c r="Q88" s="23"/>
      <c r="R88" s="23"/>
      <c r="S88" s="23"/>
      <c r="T88" s="142"/>
      <c r="U88" s="8"/>
      <c r="V88" s="11"/>
      <c r="W88" s="23"/>
      <c r="X88" s="40"/>
      <c r="AA88" s="147"/>
    </row>
    <row r="89" spans="1:27" x14ac:dyDescent="0.3">
      <c r="A89" s="23"/>
      <c r="B89" s="141"/>
      <c r="C89" s="27">
        <v>15</v>
      </c>
      <c r="D89" s="28">
        <f t="shared" si="19"/>
        <v>539646.60222583916</v>
      </c>
      <c r="E89" s="28">
        <f t="shared" si="19"/>
        <v>1618939.8066775177</v>
      </c>
      <c r="F89" s="28">
        <f t="shared" si="19"/>
        <v>1349116.5055645979</v>
      </c>
      <c r="G89" s="28">
        <f t="shared" si="19"/>
        <v>1349116.5055645979</v>
      </c>
      <c r="H89" s="28">
        <f t="shared" si="19"/>
        <v>1079293.2044516783</v>
      </c>
      <c r="I89" s="28">
        <f t="shared" si="19"/>
        <v>899411.00370973186</v>
      </c>
      <c r="J89" s="28">
        <f t="shared" si="19"/>
        <v>899411.00370973186</v>
      </c>
      <c r="K89" s="28">
        <f t="shared" si="19"/>
        <v>899411.00370973186</v>
      </c>
      <c r="L89" s="28">
        <f t="shared" si="19"/>
        <v>899411.00370973186</v>
      </c>
      <c r="M89" s="28">
        <f t="shared" si="19"/>
        <v>899411.00370973186</v>
      </c>
      <c r="Q89" s="23"/>
      <c r="R89" s="23"/>
      <c r="S89" s="23"/>
      <c r="T89" s="142"/>
      <c r="U89" s="8"/>
      <c r="V89" s="11"/>
      <c r="W89" s="23"/>
      <c r="X89" s="40"/>
      <c r="AA89" s="147"/>
    </row>
    <row r="90" spans="1:27" x14ac:dyDescent="0.3">
      <c r="A90" s="23"/>
      <c r="B90" s="141"/>
      <c r="C90" s="27">
        <v>16</v>
      </c>
      <c r="D90" s="28">
        <f t="shared" si="19"/>
        <v>0</v>
      </c>
      <c r="E90" s="28">
        <f t="shared" si="19"/>
        <v>0</v>
      </c>
      <c r="F90" s="28">
        <f t="shared" si="19"/>
        <v>0</v>
      </c>
      <c r="G90" s="28">
        <f t="shared" si="19"/>
        <v>0</v>
      </c>
      <c r="H90" s="28">
        <f t="shared" si="19"/>
        <v>0</v>
      </c>
      <c r="I90" s="28">
        <f t="shared" si="19"/>
        <v>0</v>
      </c>
      <c r="J90" s="28">
        <f t="shared" si="19"/>
        <v>0</v>
      </c>
      <c r="K90" s="28">
        <f t="shared" si="19"/>
        <v>0</v>
      </c>
      <c r="L90" s="28">
        <f t="shared" si="19"/>
        <v>0</v>
      </c>
      <c r="M90" s="28">
        <f t="shared" si="19"/>
        <v>0</v>
      </c>
      <c r="Q90" s="23"/>
      <c r="R90" s="23"/>
      <c r="S90" s="23"/>
      <c r="T90" s="142"/>
      <c r="U90" s="8"/>
      <c r="V90" s="11"/>
      <c r="W90" s="23"/>
      <c r="X90" s="40"/>
      <c r="AA90" s="147"/>
    </row>
    <row r="91" spans="1:27" x14ac:dyDescent="0.3">
      <c r="A91" s="23"/>
      <c r="B91" s="141"/>
      <c r="C91" s="27">
        <v>17</v>
      </c>
      <c r="D91" s="28">
        <f t="shared" si="19"/>
        <v>0</v>
      </c>
      <c r="E91" s="28">
        <f t="shared" si="19"/>
        <v>0</v>
      </c>
      <c r="F91" s="28">
        <f t="shared" si="19"/>
        <v>0</v>
      </c>
      <c r="G91" s="28">
        <f t="shared" si="19"/>
        <v>0</v>
      </c>
      <c r="H91" s="28">
        <f t="shared" si="19"/>
        <v>0</v>
      </c>
      <c r="I91" s="28">
        <f t="shared" si="19"/>
        <v>0</v>
      </c>
      <c r="J91" s="28">
        <f t="shared" si="19"/>
        <v>0</v>
      </c>
      <c r="K91" s="28">
        <f t="shared" si="19"/>
        <v>0</v>
      </c>
      <c r="L91" s="28">
        <f t="shared" si="19"/>
        <v>0</v>
      </c>
      <c r="M91" s="28">
        <f t="shared" si="19"/>
        <v>0</v>
      </c>
      <c r="Q91" s="23"/>
      <c r="R91" s="23"/>
      <c r="S91" s="23"/>
      <c r="T91" s="142"/>
      <c r="U91" s="8"/>
      <c r="V91" s="11"/>
      <c r="W91" s="23"/>
      <c r="X91" s="40"/>
      <c r="AA91" s="147"/>
    </row>
    <row r="92" spans="1:27" x14ac:dyDescent="0.3">
      <c r="A92" s="23"/>
      <c r="B92" s="141"/>
      <c r="C92" s="27">
        <v>18</v>
      </c>
      <c r="D92" s="28">
        <f t="shared" si="19"/>
        <v>0</v>
      </c>
      <c r="E92" s="28">
        <f t="shared" si="19"/>
        <v>0</v>
      </c>
      <c r="F92" s="28">
        <f t="shared" si="19"/>
        <v>0</v>
      </c>
      <c r="G92" s="28">
        <f t="shared" si="19"/>
        <v>0</v>
      </c>
      <c r="H92" s="28">
        <f t="shared" si="19"/>
        <v>0</v>
      </c>
      <c r="I92" s="28">
        <f t="shared" si="19"/>
        <v>0</v>
      </c>
      <c r="J92" s="28">
        <f t="shared" si="19"/>
        <v>0</v>
      </c>
      <c r="K92" s="28">
        <f t="shared" si="19"/>
        <v>0</v>
      </c>
      <c r="L92" s="28">
        <f t="shared" si="19"/>
        <v>0</v>
      </c>
      <c r="M92" s="28">
        <f t="shared" si="19"/>
        <v>0</v>
      </c>
      <c r="Q92" s="23"/>
      <c r="R92" s="23"/>
      <c r="S92" s="23"/>
      <c r="T92" s="142"/>
      <c r="U92" s="8"/>
      <c r="V92" s="11"/>
      <c r="W92" s="23"/>
      <c r="X92" s="40"/>
      <c r="AA92" s="147"/>
    </row>
    <row r="93" spans="1:27" x14ac:dyDescent="0.3">
      <c r="A93" s="23"/>
      <c r="B93" s="141"/>
      <c r="C93" s="27">
        <v>19</v>
      </c>
      <c r="D93" s="28">
        <f t="shared" si="19"/>
        <v>0</v>
      </c>
      <c r="E93" s="28">
        <f t="shared" si="19"/>
        <v>0</v>
      </c>
      <c r="F93" s="28">
        <f t="shared" si="19"/>
        <v>0</v>
      </c>
      <c r="G93" s="28">
        <f t="shared" si="19"/>
        <v>0</v>
      </c>
      <c r="H93" s="28">
        <f t="shared" si="19"/>
        <v>0</v>
      </c>
      <c r="I93" s="28">
        <f t="shared" si="19"/>
        <v>0</v>
      </c>
      <c r="J93" s="28">
        <f t="shared" si="19"/>
        <v>0</v>
      </c>
      <c r="K93" s="28">
        <f t="shared" si="19"/>
        <v>0</v>
      </c>
      <c r="L93" s="28">
        <f t="shared" si="19"/>
        <v>0</v>
      </c>
      <c r="M93" s="28">
        <f t="shared" si="19"/>
        <v>0</v>
      </c>
      <c r="Q93" s="23"/>
      <c r="R93" s="23"/>
      <c r="S93" s="23"/>
      <c r="T93" s="142"/>
      <c r="U93" s="8"/>
      <c r="V93" s="11"/>
      <c r="W93" s="23"/>
      <c r="X93" s="40"/>
      <c r="AA93" s="147"/>
    </row>
    <row r="94" spans="1:27" x14ac:dyDescent="0.3">
      <c r="A94" s="23"/>
      <c r="B94" s="141"/>
      <c r="C94" s="27">
        <v>20</v>
      </c>
      <c r="D94" s="28">
        <f>IF($C94-$C$75&lt;D$63,IF($C94-$C$75&lt;D$62,D$67,0),IF($C94-$C$75-D$63&lt;D$62,D$68,0))-D72</f>
        <v>0</v>
      </c>
      <c r="E94" s="28">
        <f t="shared" ref="E94:M94" si="20">IF($C94-$C$75&lt;E$63,IF($C94-$C$75&lt;E$62,E$67,0),IF($C94-$C$75-E$63&lt;E$62,E$68,0))-E72</f>
        <v>0</v>
      </c>
      <c r="F94" s="28">
        <f t="shared" si="20"/>
        <v>-5000000.0000000009</v>
      </c>
      <c r="G94" s="28">
        <f t="shared" si="20"/>
        <v>-6428571.4285714291</v>
      </c>
      <c r="H94" s="28">
        <f t="shared" si="20"/>
        <v>-6000000</v>
      </c>
      <c r="I94" s="28">
        <f t="shared" si="20"/>
        <v>-5000000</v>
      </c>
      <c r="J94" s="28">
        <f t="shared" si="20"/>
        <v>-5000000</v>
      </c>
      <c r="K94" s="28">
        <f t="shared" si="20"/>
        <v>-5000000</v>
      </c>
      <c r="L94" s="28">
        <f t="shared" si="20"/>
        <v>-5000000</v>
      </c>
      <c r="M94" s="28">
        <f t="shared" si="20"/>
        <v>-5000000</v>
      </c>
      <c r="Q94" s="23"/>
      <c r="R94" s="23"/>
      <c r="S94" s="23"/>
      <c r="T94" s="142"/>
      <c r="U94" s="8"/>
      <c r="V94" s="11"/>
      <c r="W94" s="23"/>
      <c r="X94" s="40"/>
      <c r="AA94" s="147"/>
    </row>
    <row r="95" spans="1:27" x14ac:dyDescent="0.3">
      <c r="B95" s="8"/>
      <c r="D95" s="40"/>
      <c r="E95" s="40"/>
      <c r="F95" s="40"/>
      <c r="G95" s="40"/>
      <c r="H95" s="40"/>
      <c r="I95" s="40"/>
      <c r="J95" s="40"/>
      <c r="K95" s="40"/>
      <c r="L95" s="40"/>
      <c r="M95" s="40"/>
    </row>
    <row r="96" spans="1:27" x14ac:dyDescent="0.3">
      <c r="B96" s="94" t="str">
        <f ca="1">'Boundary conditions'!L3</f>
        <v>[EUR]</v>
      </c>
      <c r="C96" s="8" t="s">
        <v>292</v>
      </c>
      <c r="D96" s="11">
        <f>SUM(D75:D94)</f>
        <v>8094699.0333875874</v>
      </c>
      <c r="E96" s="11">
        <f t="shared" ref="E96:M96" si="21">SUM(E75:E94)</f>
        <v>24284097.100162763</v>
      </c>
      <c r="F96" s="11">
        <f t="shared" si="21"/>
        <v>15236747.58346897</v>
      </c>
      <c r="G96" s="11">
        <f t="shared" si="21"/>
        <v>13808176.154897541</v>
      </c>
      <c r="H96" s="11">
        <f t="shared" si="21"/>
        <v>10189398.066775175</v>
      </c>
      <c r="I96" s="11">
        <f t="shared" si="21"/>
        <v>8491165.0556459762</v>
      </c>
      <c r="J96" s="11">
        <f t="shared" si="21"/>
        <v>8491165.0556459762</v>
      </c>
      <c r="K96" s="11">
        <f t="shared" si="21"/>
        <v>8491165.0556459762</v>
      </c>
      <c r="L96" s="11">
        <f t="shared" si="21"/>
        <v>8491165.0556459762</v>
      </c>
      <c r="M96" s="11">
        <f t="shared" si="21"/>
        <v>8491165.0556459762</v>
      </c>
    </row>
    <row r="97" spans="2:13" x14ac:dyDescent="0.3">
      <c r="B97" s="94" t="str">
        <f ca="1">INDIRECT(ADDRESS(HelpSheet!B16,HelpSheet!F26,1,1,"HelpSheet"))</f>
        <v>[EUR/a]</v>
      </c>
      <c r="C97" s="8" t="s">
        <v>293</v>
      </c>
      <c r="D97" s="11">
        <f t="shared" ref="D97:M97" si="22">D96/$C94</f>
        <v>404734.95166937937</v>
      </c>
      <c r="E97" s="11">
        <f t="shared" si="22"/>
        <v>1214204.8550081381</v>
      </c>
      <c r="F97" s="11">
        <f t="shared" si="22"/>
        <v>761837.37917344854</v>
      </c>
      <c r="G97" s="11">
        <f t="shared" si="22"/>
        <v>690408.80774487706</v>
      </c>
      <c r="H97" s="11">
        <f t="shared" si="22"/>
        <v>509469.90333875874</v>
      </c>
      <c r="I97" s="11">
        <f t="shared" si="22"/>
        <v>424558.25278229883</v>
      </c>
      <c r="J97" s="11">
        <f t="shared" si="22"/>
        <v>424558.25278229883</v>
      </c>
      <c r="K97" s="11">
        <f t="shared" si="22"/>
        <v>424558.25278229883</v>
      </c>
      <c r="L97" s="11">
        <f t="shared" si="22"/>
        <v>424558.25278229883</v>
      </c>
      <c r="M97" s="11">
        <f t="shared" si="22"/>
        <v>424558.25278229883</v>
      </c>
    </row>
    <row r="98" spans="2:13" x14ac:dyDescent="0.3">
      <c r="D98" s="40"/>
      <c r="E98" s="40"/>
    </row>
    <row r="99" spans="2:13" x14ac:dyDescent="0.3">
      <c r="C99" s="20"/>
    </row>
    <row r="104" spans="2:13" x14ac:dyDescent="0.3">
      <c r="K104" s="11"/>
    </row>
    <row r="105" spans="2:13" x14ac:dyDescent="0.3">
      <c r="C105" s="11"/>
      <c r="D105" s="11"/>
      <c r="E105" s="11"/>
      <c r="F105" s="11"/>
      <c r="G105" s="11"/>
      <c r="H105" s="11"/>
      <c r="I105" s="11"/>
      <c r="J105" s="11"/>
      <c r="K105" s="11"/>
    </row>
    <row r="106" spans="2:13" x14ac:dyDescent="0.3">
      <c r="D106" s="11"/>
      <c r="E106" s="11"/>
      <c r="F106" s="11"/>
      <c r="G106" s="11"/>
      <c r="H106" s="11"/>
      <c r="I106" s="11"/>
      <c r="J106" s="11"/>
      <c r="K106" s="11"/>
      <c r="L106" s="11"/>
      <c r="M106" s="11"/>
    </row>
    <row r="107" spans="2:13" x14ac:dyDescent="0.3">
      <c r="C107" s="11"/>
      <c r="D107" s="11"/>
      <c r="E107" s="11"/>
      <c r="F107" s="11"/>
      <c r="G107" s="11"/>
      <c r="H107" s="11"/>
      <c r="I107" s="11"/>
      <c r="J107" s="11"/>
      <c r="K107" s="11"/>
      <c r="L107" s="11"/>
      <c r="M107" s="11"/>
    </row>
    <row r="108" spans="2:13" x14ac:dyDescent="0.3">
      <c r="C108" s="2"/>
      <c r="D108" s="253" t="s">
        <v>294</v>
      </c>
      <c r="E108" s="254"/>
      <c r="F108" s="254"/>
      <c r="G108" s="254"/>
      <c r="H108" s="254"/>
      <c r="I108" s="254"/>
      <c r="J108" s="254"/>
      <c r="K108" s="254"/>
      <c r="L108" s="254"/>
      <c r="M108" s="255"/>
    </row>
    <row r="109" spans="2:13" x14ac:dyDescent="0.3">
      <c r="C109" s="90" t="s">
        <v>295</v>
      </c>
      <c r="D109" s="41" t="str">
        <f>D56</f>
        <v>DH system (reference)</v>
      </c>
      <c r="E109" s="41" t="str">
        <f t="shared" ref="E109:M109" si="23">E56</f>
        <v>Waste heat + Heat pump</v>
      </c>
      <c r="F109" s="41" t="str">
        <f t="shared" si="23"/>
        <v>Biomass boiler + Solar thermal</v>
      </c>
      <c r="G109" s="41" t="str">
        <f t="shared" si="23"/>
        <v>Biomass boiler (wood chips)</v>
      </c>
      <c r="H109" s="41" t="str">
        <f t="shared" si="23"/>
        <v>Ambient/Geothermal + heat pump</v>
      </c>
      <c r="I109" s="41" t="str">
        <f t="shared" si="23"/>
        <v>Custom 1</v>
      </c>
      <c r="J109" s="41" t="str">
        <f t="shared" si="23"/>
        <v>Custom 2</v>
      </c>
      <c r="K109" s="41" t="str">
        <f t="shared" si="23"/>
        <v>Custom 3</v>
      </c>
      <c r="L109" s="41" t="str">
        <f t="shared" si="23"/>
        <v>Custom 4</v>
      </c>
      <c r="M109" s="41" t="str">
        <f t="shared" si="23"/>
        <v>Custom 5</v>
      </c>
    </row>
    <row r="110" spans="2:13" x14ac:dyDescent="0.3">
      <c r="C110" s="27">
        <v>1</v>
      </c>
      <c r="D110" s="3">
        <f>'RES Alternatives'!C81+'RES Alternatives'!C61</f>
        <v>5597346.0961998748</v>
      </c>
      <c r="E110" s="3">
        <f>'RES Alternatives'!D81+'RES Alternatives'!D61</f>
        <v>3827555.2649668576</v>
      </c>
      <c r="F110" s="3">
        <f>'RES Alternatives'!E81+'RES Alternatives'!E61</f>
        <v>2257169.7445667041</v>
      </c>
      <c r="G110" s="3">
        <f>'RES Alternatives'!F81+'RES Alternatives'!F61</f>
        <v>2476975.8301327941</v>
      </c>
      <c r="H110" s="3">
        <f>'RES Alternatives'!G81+'RES Alternatives'!G61</f>
        <v>4180511.4301677584</v>
      </c>
      <c r="I110" s="3">
        <f>'RES Alternatives'!H81+'RES Alternatives'!H61</f>
        <v>4526619.621965819</v>
      </c>
      <c r="J110" s="3">
        <f>'RES Alternatives'!I81+'RES Alternatives'!I61</f>
        <v>3368872.4485680172</v>
      </c>
      <c r="K110" s="3">
        <f>'RES Alternatives'!J81+'RES Alternatives'!J61</f>
        <v>2624516.9689556165</v>
      </c>
      <c r="L110" s="3">
        <f>'RES Alternatives'!K81+'RES Alternatives'!K61</f>
        <v>2682243.9012804865</v>
      </c>
      <c r="M110" s="3">
        <f>'RES Alternatives'!L81+'RES Alternatives'!L61</f>
        <v>4486602.9097805051</v>
      </c>
    </row>
    <row r="111" spans="2:13" x14ac:dyDescent="0.3">
      <c r="C111" s="27">
        <v>2</v>
      </c>
      <c r="D111" s="3">
        <f>D110+'RES Alternatives'!C81</f>
        <v>11194692.19239975</v>
      </c>
      <c r="E111" s="3">
        <f>E110+'RES Alternatives'!D81</f>
        <v>7655110.5299337152</v>
      </c>
      <c r="F111" s="3">
        <f>F110+'RES Alternatives'!E81</f>
        <v>4514339.4891334083</v>
      </c>
      <c r="G111" s="3">
        <f>G110+'RES Alternatives'!F81</f>
        <v>4953951.6602655882</v>
      </c>
      <c r="H111" s="3">
        <f>H110+'RES Alternatives'!G81</f>
        <v>8361022.8603355167</v>
      </c>
      <c r="I111" s="3">
        <f>I110+'RES Alternatives'!H81</f>
        <v>9053239.2439316381</v>
      </c>
      <c r="J111" s="3">
        <f>J110+'RES Alternatives'!I81</f>
        <v>6737744.8971360344</v>
      </c>
      <c r="K111" s="3">
        <f>K110+'RES Alternatives'!J81</f>
        <v>5249033.9379112329</v>
      </c>
      <c r="L111" s="3">
        <f>L110+'RES Alternatives'!K81</f>
        <v>5364487.802560973</v>
      </c>
      <c r="M111" s="3">
        <f>M110+'RES Alternatives'!L81</f>
        <v>8973205.8195610102</v>
      </c>
    </row>
    <row r="112" spans="2:13" x14ac:dyDescent="0.3">
      <c r="C112" s="27">
        <v>3</v>
      </c>
      <c r="D112" s="3">
        <f>D111+'RES Alternatives'!C82</f>
        <v>16387303.336930245</v>
      </c>
      <c r="E112" s="3">
        <f>E111+'RES Alternatives'!D82</f>
        <v>10268460.939892434</v>
      </c>
      <c r="F112" s="3">
        <f>F111+'RES Alternatives'!E82</f>
        <v>6009671.8545266632</v>
      </c>
      <c r="G112" s="3">
        <f>G111+'RES Alternatives'!F82</f>
        <v>6740518.6826535054</v>
      </c>
      <c r="H112" s="3">
        <f>H111+'RES Alternatives'!G82</f>
        <v>12032064.387164516</v>
      </c>
      <c r="I112" s="3">
        <f>I111+'RES Alternatives'!H82</f>
        <v>13155300.613115158</v>
      </c>
      <c r="J112" s="3">
        <f>J111+'RES Alternatives'!I82</f>
        <v>9682059.0929217525</v>
      </c>
      <c r="K112" s="3">
        <f>K111+'RES Alternatives'!J82</f>
        <v>7448992.6540845502</v>
      </c>
      <c r="L112" s="3">
        <f>L111+'RES Alternatives'!K82</f>
        <v>7622173.4510591608</v>
      </c>
      <c r="M112" s="3">
        <f>M111+'RES Alternatives'!L82</f>
        <v>13035250.476559216</v>
      </c>
    </row>
    <row r="113" spans="3:13" x14ac:dyDescent="0.3">
      <c r="C113" s="27">
        <v>4</v>
      </c>
      <c r="D113" s="3">
        <f>D112+'RES Alternatives'!C84</f>
        <v>16792038.288599625</v>
      </c>
      <c r="E113" s="3">
        <f>E112+'RES Alternatives'!D84</f>
        <v>11482665.794900572</v>
      </c>
      <c r="F113" s="3">
        <f>F112+'RES Alternatives'!E84</f>
        <v>6771509.2337001115</v>
      </c>
      <c r="G113" s="3">
        <f>G112+'RES Alternatives'!F84</f>
        <v>7430927.4903983828</v>
      </c>
      <c r="H113" s="3">
        <f>H112+'RES Alternatives'!G84</f>
        <v>12541534.290503275</v>
      </c>
      <c r="I113" s="3">
        <f>I112+'RES Alternatives'!H84</f>
        <v>13579858.865897456</v>
      </c>
      <c r="J113" s="3">
        <f>J112+'RES Alternatives'!I84</f>
        <v>10106617.345704051</v>
      </c>
      <c r="K113" s="3">
        <f>K112+'RES Alternatives'!J84</f>
        <v>7873550.9068668494</v>
      </c>
      <c r="L113" s="3">
        <f>L112+'RES Alternatives'!K84</f>
        <v>8046731.7038414599</v>
      </c>
      <c r="M113" s="3">
        <f>M112+'RES Alternatives'!L84</f>
        <v>13459808.729341514</v>
      </c>
    </row>
    <row r="114" spans="3:13" x14ac:dyDescent="0.3">
      <c r="C114" s="27">
        <v>5</v>
      </c>
      <c r="D114" s="3">
        <f>D113+'RES Alternatives'!C85</f>
        <v>17196773.240269005</v>
      </c>
      <c r="E114" s="3">
        <f>E113+'RES Alternatives'!D85</f>
        <v>12696870.64990871</v>
      </c>
      <c r="F114" s="3">
        <f>F113+'RES Alternatives'!E85</f>
        <v>7533346.6128735598</v>
      </c>
      <c r="G114" s="3">
        <f>G113+'RES Alternatives'!F85</f>
        <v>8121336.2981432602</v>
      </c>
      <c r="H114" s="3">
        <f>H113+'RES Alternatives'!G85</f>
        <v>13051004.193842033</v>
      </c>
      <c r="I114" s="3">
        <f>I113+'RES Alternatives'!H85</f>
        <v>14004417.118679754</v>
      </c>
      <c r="J114" s="3">
        <f>J113+'RES Alternatives'!I85</f>
        <v>10531175.598486349</v>
      </c>
      <c r="K114" s="3">
        <f>K113+'RES Alternatives'!J85</f>
        <v>8298109.1596491486</v>
      </c>
      <c r="L114" s="3">
        <f>L113+'RES Alternatives'!K85</f>
        <v>8471289.9566237591</v>
      </c>
      <c r="M114" s="3">
        <f>M113+'RES Alternatives'!L85</f>
        <v>13884366.982123813</v>
      </c>
    </row>
    <row r="115" spans="3:13" x14ac:dyDescent="0.3">
      <c r="C115" s="27">
        <v>6</v>
      </c>
      <c r="D115" s="3">
        <f>D114+'RES Alternatives'!C86</f>
        <v>17196773.312577371</v>
      </c>
      <c r="E115" s="3">
        <f>E114+'RES Alternatives'!D86</f>
        <v>12696870.967135966</v>
      </c>
      <c r="F115" s="3">
        <f>F114+'RES Alternatives'!E86</f>
        <v>7533346.9503924288</v>
      </c>
      <c r="G115" s="3">
        <f>G114+'RES Alternatives'!F86</f>
        <v>8121336.5768737989</v>
      </c>
      <c r="H115" s="3">
        <f>H114+'RES Alternatives'!G86</f>
        <v>13051004.315709874</v>
      </c>
      <c r="I115" s="3">
        <f>I114+'RES Alternatives'!H86</f>
        <v>14004417.212471211</v>
      </c>
      <c r="J115" s="3">
        <f>J114+'RES Alternatives'!I86</f>
        <v>10531175.724510193</v>
      </c>
      <c r="K115" s="3">
        <f>K114+'RES Alternatives'!J86</f>
        <v>8298109.3214153927</v>
      </c>
      <c r="L115" s="3">
        <f>L114+'RES Alternatives'!K86</f>
        <v>8471290.1149084903</v>
      </c>
      <c r="M115" s="3">
        <f>M114+'RES Alternatives'!L86</f>
        <v>13884367.076751811</v>
      </c>
    </row>
    <row r="116" spans="3:13" x14ac:dyDescent="0.3">
      <c r="C116" s="27">
        <v>7</v>
      </c>
      <c r="D116" s="3">
        <f>D115+'RES Alternatives'!C87</f>
        <v>17196774.240269005</v>
      </c>
      <c r="E116" s="3">
        <f>E115+'RES Alternatives'!D87</f>
        <v>12696871.64990871</v>
      </c>
      <c r="F116" s="3">
        <f>F115+'RES Alternatives'!E87</f>
        <v>7533347.6128735598</v>
      </c>
      <c r="G116" s="3">
        <f>G115+'RES Alternatives'!F87</f>
        <v>8121337.2981432602</v>
      </c>
      <c r="H116" s="3">
        <f>H115+'RES Alternatives'!G87</f>
        <v>13051005.193842033</v>
      </c>
      <c r="I116" s="3">
        <f>I115+'RES Alternatives'!H87</f>
        <v>14004418.118679754</v>
      </c>
      <c r="J116" s="3">
        <f>J115+'RES Alternatives'!I87</f>
        <v>10531176.598486349</v>
      </c>
      <c r="K116" s="3">
        <f>K115+'RES Alternatives'!J87</f>
        <v>8298110.1596491486</v>
      </c>
      <c r="L116" s="3">
        <f>L115+'RES Alternatives'!K87</f>
        <v>8471290.9566237591</v>
      </c>
      <c r="M116" s="3">
        <f>M115+'RES Alternatives'!L87</f>
        <v>13884367.982123813</v>
      </c>
    </row>
    <row r="117" spans="3:13" x14ac:dyDescent="0.3">
      <c r="C117" s="27">
        <v>8</v>
      </c>
      <c r="D117" s="3">
        <f>D116+'RES Alternatives'!C88</f>
        <v>17196977.042663794</v>
      </c>
      <c r="E117" s="3">
        <f>E116+'RES Alternatives'!D88</f>
        <v>12697010.329447296</v>
      </c>
      <c r="F117" s="3">
        <f>F116+'RES Alternatives'!E88</f>
        <v>7533429.3943860438</v>
      </c>
      <c r="G117" s="3">
        <f>G116+'RES Alternatives'!F88</f>
        <v>8121427.0436443519</v>
      </c>
      <c r="H117" s="3">
        <f>H116+'RES Alternatives'!G88</f>
        <v>13051156.661647474</v>
      </c>
      <c r="I117" s="3">
        <f>I116+'RES Alternatives'!H88</f>
        <v>14004582.126637071</v>
      </c>
      <c r="J117" s="3">
        <f>J116+'RES Alternatives'!I88</f>
        <v>10531298.659082312</v>
      </c>
      <c r="K117" s="3">
        <f>K116+'RES Alternatives'!J88</f>
        <v>8298205.2508436758</v>
      </c>
      <c r="L117" s="3">
        <f>L116+'RES Alternatives'!K88</f>
        <v>8471388.1393738054</v>
      </c>
      <c r="M117" s="3">
        <f>M116+'RES Alternatives'!L88</f>
        <v>13884530.540200254</v>
      </c>
    </row>
    <row r="118" spans="3:13" x14ac:dyDescent="0.3">
      <c r="C118" s="27">
        <v>9</v>
      </c>
      <c r="D118" s="3">
        <f>D117+'RES Alternatives'!C89</f>
        <v>17196991.706973638</v>
      </c>
      <c r="E118" s="3">
        <f>E117+'RES Alternatives'!D89</f>
        <v>12697054.322376825</v>
      </c>
      <c r="F118" s="3">
        <f>F117+'RES Alternatives'!E89</f>
        <v>7533456.9971896373</v>
      </c>
      <c r="G118" s="3">
        <f>G117+'RES Alternatives'!F89</f>
        <v>8121452.0584562263</v>
      </c>
      <c r="H118" s="3">
        <f>H117+'RES Alternatives'!G89</f>
        <v>13051175.120701943</v>
      </c>
      <c r="I118" s="3">
        <f>I117+'RES Alternatives'!H89</f>
        <v>14004597.509182462</v>
      </c>
      <c r="J118" s="3">
        <f>J117+'RES Alternatives'!I89</f>
        <v>10531314.041627703</v>
      </c>
      <c r="K118" s="3">
        <f>K117+'RES Alternatives'!J89</f>
        <v>8298220.6333890669</v>
      </c>
      <c r="L118" s="3">
        <f>L117+'RES Alternatives'!K89</f>
        <v>8471403.5219191965</v>
      </c>
      <c r="M118" s="3">
        <f>M117+'RES Alternatives'!L89</f>
        <v>13884545.922745645</v>
      </c>
    </row>
    <row r="119" spans="3:13" x14ac:dyDescent="0.3">
      <c r="C119" s="27">
        <v>10</v>
      </c>
      <c r="D119" s="3">
        <f>D118+'RES Alternatives'!C90</f>
        <v>17197179.845058586</v>
      </c>
      <c r="E119" s="3">
        <f>E118+'RES Alternatives'!D90</f>
        <v>12697149.008985881</v>
      </c>
      <c r="F119" s="3">
        <f>F118+'RES Alternatives'!E90</f>
        <v>7533511.1758985287</v>
      </c>
      <c r="G119" s="3">
        <f>G118+'RES Alternatives'!F90</f>
        <v>8121516.7891454436</v>
      </c>
      <c r="H119" s="3">
        <f>H118+'RES Alternatives'!G90</f>
        <v>13051308.129452914</v>
      </c>
      <c r="I119" s="3">
        <f>I118+'RES Alternatives'!H90</f>
        <v>14004746.13459439</v>
      </c>
      <c r="J119" s="3">
        <f>J118+'RES Alternatives'!I90</f>
        <v>10531420.719678275</v>
      </c>
      <c r="K119" s="3">
        <f>K118+'RES Alternatives'!J90</f>
        <v>8298300.342038204</v>
      </c>
      <c r="L119" s="3">
        <f>L118+'RES Alternatives'!K90</f>
        <v>8471485.3221238516</v>
      </c>
      <c r="M119" s="3">
        <f>M118+'RES Alternatives'!L90</f>
        <v>13884693.098276695</v>
      </c>
    </row>
    <row r="120" spans="3:13" x14ac:dyDescent="0.3">
      <c r="C120" s="27">
        <v>11</v>
      </c>
      <c r="D120" s="3">
        <f>D119+'RES Alternatives'!C91</f>
        <v>17197179.845058586</v>
      </c>
      <c r="E120" s="3">
        <f>E119+'RES Alternatives'!D91</f>
        <v>12697149.008985881</v>
      </c>
      <c r="F120" s="3">
        <f>F119+'RES Alternatives'!E91</f>
        <v>7533511.1758985287</v>
      </c>
      <c r="G120" s="3">
        <f>G119+'RES Alternatives'!F91</f>
        <v>8121516.7891454436</v>
      </c>
      <c r="H120" s="3">
        <f>H119+'RES Alternatives'!G91</f>
        <v>13051308.129452914</v>
      </c>
      <c r="I120" s="3">
        <f>I119+'RES Alternatives'!H91</f>
        <v>14004746.13459439</v>
      </c>
      <c r="J120" s="3">
        <f>J119+'RES Alternatives'!I91</f>
        <v>10531420.719678275</v>
      </c>
      <c r="K120" s="3">
        <f>K119+'RES Alternatives'!J91</f>
        <v>8298300.342038204</v>
      </c>
      <c r="L120" s="3">
        <f>L119+'RES Alternatives'!K91</f>
        <v>8471485.3221238516</v>
      </c>
      <c r="M120" s="3">
        <f>M119+'RES Alternatives'!L91</f>
        <v>13884693.098276695</v>
      </c>
    </row>
    <row r="121" spans="3:13" x14ac:dyDescent="0.3">
      <c r="C121" s="27">
        <v>12</v>
      </c>
      <c r="D121" s="3">
        <f>D120+'RES Alternatives'!C73</f>
        <v>17203096.817798901</v>
      </c>
      <c r="E121" s="3">
        <f>E120+'RES Alternatives'!D73</f>
        <v>12697819.990498485</v>
      </c>
      <c r="F121" s="3">
        <f>F120+'RES Alternatives'!E73</f>
        <v>7533783.195004411</v>
      </c>
      <c r="G121" s="3">
        <f>G120+'RES Alternatives'!F73</f>
        <v>8121841.4950277964</v>
      </c>
      <c r="H121" s="3">
        <f>H120+'RES Alternatives'!G73</f>
        <v>13051988.929452915</v>
      </c>
      <c r="I121" s="3">
        <f>I120+'RES Alternatives'!H73</f>
        <v>14008918.605182625</v>
      </c>
      <c r="J121" s="3">
        <f>J120+'RES Alternatives'!I73</f>
        <v>10533669.30791357</v>
      </c>
      <c r="K121" s="3">
        <f>K120+'RES Alternatives'!J73</f>
        <v>8298798.185735683</v>
      </c>
      <c r="L121" s="3">
        <f>L120+'RES Alternatives'!K73</f>
        <v>8471899.0515356157</v>
      </c>
      <c r="M121" s="3">
        <f>M120+'RES Alternatives'!L73</f>
        <v>13887046.350041401</v>
      </c>
    </row>
    <row r="122" spans="3:13" x14ac:dyDescent="0.3">
      <c r="C122" s="27">
        <v>13</v>
      </c>
      <c r="D122" s="3">
        <f>D121+'RES Alternatives'!C74</f>
        <v>17203096.817798901</v>
      </c>
      <c r="E122" s="3">
        <f>E121+'RES Alternatives'!D74</f>
        <v>12703065.981726196</v>
      </c>
      <c r="F122" s="3">
        <f>F121+'RES Alternatives'!E74</f>
        <v>7539428.1486388445</v>
      </c>
      <c r="G122" s="3">
        <f>G121+'RES Alternatives'!F74</f>
        <v>8127433.7618857594</v>
      </c>
      <c r="H122" s="3">
        <f>H121+'RES Alternatives'!G74</f>
        <v>13057225.102193231</v>
      </c>
      <c r="I122" s="3">
        <f>I121+'RES Alternatives'!H74</f>
        <v>14010663.107334705</v>
      </c>
      <c r="J122" s="3">
        <f>J121+'RES Alternatives'!I74</f>
        <v>10537337.692418592</v>
      </c>
      <c r="K122" s="3">
        <f>K121+'RES Alternatives'!J74</f>
        <v>8304217.3147785198</v>
      </c>
      <c r="L122" s="3">
        <f>L121+'RES Alternatives'!K74</f>
        <v>8477402.2948641665</v>
      </c>
      <c r="M122" s="3">
        <f>M121+'RES Alternatives'!L74</f>
        <v>13890610.07101701</v>
      </c>
    </row>
    <row r="123" spans="3:13" x14ac:dyDescent="0.3">
      <c r="C123" s="27">
        <v>14</v>
      </c>
      <c r="D123" s="3">
        <f>D122+'RES Alternatives'!C75</f>
        <v>17208916.378774513</v>
      </c>
      <c r="E123" s="3">
        <f>E122+'RES Alternatives'!D75</f>
        <v>12703282.838869052</v>
      </c>
      <c r="F123" s="3">
        <f>F122+'RES Alternatives'!E75</f>
        <v>7539428.1486388445</v>
      </c>
      <c r="G123" s="3">
        <f>G122+'RES Alternatives'!F75</f>
        <v>8127433.7618857594</v>
      </c>
      <c r="H123" s="3">
        <f>H122+'RES Alternatives'!G75</f>
        <v>13057225.102193231</v>
      </c>
      <c r="I123" s="3">
        <f>I122+'RES Alternatives'!H75</f>
        <v>14014673.224981764</v>
      </c>
      <c r="J123" s="3">
        <f>J122+'RES Alternatives'!I75</f>
        <v>10539342.751242122</v>
      </c>
      <c r="K123" s="3">
        <f>K122+'RES Alternatives'!J75</f>
        <v>8304325.743349948</v>
      </c>
      <c r="L123" s="3">
        <f>L122+'RES Alternatives'!K75</f>
        <v>8477402.2948641665</v>
      </c>
      <c r="M123" s="3">
        <f>M122+'RES Alternatives'!L75</f>
        <v>13892418.682781717</v>
      </c>
    </row>
    <row r="124" spans="3:13" x14ac:dyDescent="0.3">
      <c r="C124" s="27">
        <v>15</v>
      </c>
      <c r="D124" s="3">
        <f>D123+'RES Alternatives'!C92</f>
        <v>17208916.378774513</v>
      </c>
      <c r="E124" s="3">
        <f>E123+'RES Alternatives'!D92</f>
        <v>12703282.838869052</v>
      </c>
      <c r="F124" s="3">
        <f>F123+'RES Alternatives'!E92</f>
        <v>7539428.1486388445</v>
      </c>
      <c r="G124" s="3">
        <f>G123+'RES Alternatives'!F92</f>
        <v>8127433.7618857594</v>
      </c>
      <c r="H124" s="3">
        <f>H123+'RES Alternatives'!G92</f>
        <v>13057225.102193231</v>
      </c>
      <c r="I124" s="3">
        <f>I123+'RES Alternatives'!H92</f>
        <v>14014673.224981764</v>
      </c>
      <c r="J124" s="3">
        <f>J123+'RES Alternatives'!I92</f>
        <v>10539342.751242122</v>
      </c>
      <c r="K124" s="3">
        <f>K123+'RES Alternatives'!J92</f>
        <v>8304325.743349948</v>
      </c>
      <c r="L124" s="3">
        <f>L123+'RES Alternatives'!K92</f>
        <v>8477402.2948641665</v>
      </c>
      <c r="M124" s="3">
        <f>M123+'RES Alternatives'!L92</f>
        <v>13892418.682781717</v>
      </c>
    </row>
    <row r="125" spans="3:13" x14ac:dyDescent="0.3">
      <c r="C125" s="27">
        <v>16</v>
      </c>
      <c r="D125" s="3">
        <f>D124+'RES Alternatives'!C93</f>
        <v>17208916.378774513</v>
      </c>
      <c r="E125" s="3">
        <f>E124+'RES Alternatives'!D93</f>
        <v>12703282.838869052</v>
      </c>
      <c r="F125" s="3">
        <f>F124+'RES Alternatives'!E93</f>
        <v>7539428.1486388445</v>
      </c>
      <c r="G125" s="3">
        <f>G124+'RES Alternatives'!F93</f>
        <v>8127433.7618857594</v>
      </c>
      <c r="H125" s="3">
        <f>H124+'RES Alternatives'!G93</f>
        <v>13057225.102193231</v>
      </c>
      <c r="I125" s="3">
        <f>I124+'RES Alternatives'!H93</f>
        <v>14014673.224981764</v>
      </c>
      <c r="J125" s="3">
        <f>J124+'RES Alternatives'!I93</f>
        <v>10539342.751242122</v>
      </c>
      <c r="K125" s="3">
        <f>K124+'RES Alternatives'!J93</f>
        <v>8304325.743349948</v>
      </c>
      <c r="L125" s="3">
        <f>L124+'RES Alternatives'!K93</f>
        <v>8477402.2948641665</v>
      </c>
      <c r="M125" s="3">
        <f>M124+'RES Alternatives'!L93</f>
        <v>13892418.682781717</v>
      </c>
    </row>
    <row r="126" spans="3:13" x14ac:dyDescent="0.3">
      <c r="C126" s="27">
        <v>17</v>
      </c>
      <c r="D126" s="3">
        <f>D125+'RES Alternatives'!C94</f>
        <v>17208916.378774513</v>
      </c>
      <c r="E126" s="3">
        <f>E125+'RES Alternatives'!D94</f>
        <v>12703282.838869052</v>
      </c>
      <c r="F126" s="3">
        <f>F125+'RES Alternatives'!E94</f>
        <v>7539428.1486388445</v>
      </c>
      <c r="G126" s="3">
        <f>G125+'RES Alternatives'!F94</f>
        <v>8127433.7618857594</v>
      </c>
      <c r="H126" s="3">
        <f>H125+'RES Alternatives'!G94</f>
        <v>13057225.102193231</v>
      </c>
      <c r="I126" s="3">
        <f>I125+'RES Alternatives'!H94</f>
        <v>14014673.224981764</v>
      </c>
      <c r="J126" s="3">
        <f>J125+'RES Alternatives'!I94</f>
        <v>10539342.751242122</v>
      </c>
      <c r="K126" s="3">
        <f>K125+'RES Alternatives'!J94</f>
        <v>8304325.743349948</v>
      </c>
      <c r="L126" s="3">
        <f>L125+'RES Alternatives'!K94</f>
        <v>8477402.2948641665</v>
      </c>
      <c r="M126" s="3">
        <f>M125+'RES Alternatives'!L94</f>
        <v>13892418.682781717</v>
      </c>
    </row>
    <row r="127" spans="3:13" x14ac:dyDescent="0.3">
      <c r="C127" s="27">
        <v>18</v>
      </c>
      <c r="D127" s="3">
        <f>D126+'RES Alternatives'!C95</f>
        <v>17208916.378774513</v>
      </c>
      <c r="E127" s="3">
        <f>E126+'RES Alternatives'!D95</f>
        <v>12703282.838869052</v>
      </c>
      <c r="F127" s="3">
        <f>F126+'RES Alternatives'!E95</f>
        <v>7539428.1486388445</v>
      </c>
      <c r="G127" s="3">
        <f>G126+'RES Alternatives'!F95</f>
        <v>8127433.7618857594</v>
      </c>
      <c r="H127" s="3">
        <f>H126+'RES Alternatives'!G95</f>
        <v>13057225.102193231</v>
      </c>
      <c r="I127" s="3">
        <f>I126+'RES Alternatives'!H95</f>
        <v>14014673.224981764</v>
      </c>
      <c r="J127" s="3">
        <f>J126+'RES Alternatives'!I95</f>
        <v>10539342.751242122</v>
      </c>
      <c r="K127" s="3">
        <f>K126+'RES Alternatives'!J95</f>
        <v>8304325.743349948</v>
      </c>
      <c r="L127" s="3">
        <f>L126+'RES Alternatives'!K95</f>
        <v>8477402.2948641665</v>
      </c>
      <c r="M127" s="3">
        <f>M126+'RES Alternatives'!L95</f>
        <v>13892418.682781717</v>
      </c>
    </row>
    <row r="128" spans="3:13" x14ac:dyDescent="0.3">
      <c r="C128" s="27">
        <v>19</v>
      </c>
      <c r="D128" s="3">
        <f>D127+'RES Alternatives'!C96</f>
        <v>17208916.378774513</v>
      </c>
      <c r="E128" s="3">
        <f>E127+'RES Alternatives'!D96</f>
        <v>12703282.838869052</v>
      </c>
      <c r="F128" s="3">
        <f>F127+'RES Alternatives'!E96</f>
        <v>7539428.1486388445</v>
      </c>
      <c r="G128" s="3">
        <f>G127+'RES Alternatives'!F96</f>
        <v>8127433.7618857594</v>
      </c>
      <c r="H128" s="3">
        <f>H127+'RES Alternatives'!G96</f>
        <v>13057225.102193231</v>
      </c>
      <c r="I128" s="3">
        <f>I127+'RES Alternatives'!H96</f>
        <v>14014673.224981764</v>
      </c>
      <c r="J128" s="3">
        <f>J127+'RES Alternatives'!I96</f>
        <v>10539342.751242122</v>
      </c>
      <c r="K128" s="3">
        <f>K127+'RES Alternatives'!J96</f>
        <v>8304325.743349948</v>
      </c>
      <c r="L128" s="3">
        <f>L127+'RES Alternatives'!K96</f>
        <v>8477402.2948641665</v>
      </c>
      <c r="M128" s="3">
        <f>M127+'RES Alternatives'!L96</f>
        <v>13892418.682781717</v>
      </c>
    </row>
    <row r="129" spans="3:13" x14ac:dyDescent="0.3">
      <c r="C129" s="27">
        <v>20</v>
      </c>
      <c r="D129" s="3">
        <f>D128+'RES Alternatives'!C97</f>
        <v>17208916.378774513</v>
      </c>
      <c r="E129" s="3">
        <f>E128+'RES Alternatives'!D97</f>
        <v>12703282.838869052</v>
      </c>
      <c r="F129" s="3">
        <f>F128+'RES Alternatives'!E97</f>
        <v>7539428.1486388445</v>
      </c>
      <c r="G129" s="3">
        <f>G128+'RES Alternatives'!F97</f>
        <v>8127433.7618857594</v>
      </c>
      <c r="H129" s="3">
        <f>H128+'RES Alternatives'!G97</f>
        <v>13057225.102193231</v>
      </c>
      <c r="I129" s="3">
        <f>I128+'RES Alternatives'!H97</f>
        <v>14014673.224981764</v>
      </c>
      <c r="J129" s="3">
        <f>J128+'RES Alternatives'!I97</f>
        <v>10539342.751242122</v>
      </c>
      <c r="K129" s="3">
        <f>K128+'RES Alternatives'!J97</f>
        <v>8304325.743349948</v>
      </c>
      <c r="L129" s="3">
        <f>L128+'RES Alternatives'!K97</f>
        <v>8477402.2948641665</v>
      </c>
      <c r="M129" s="3">
        <f>M128+'RES Alternatives'!L97</f>
        <v>13892418.682781717</v>
      </c>
    </row>
    <row r="131" spans="3:13" x14ac:dyDescent="0.3">
      <c r="D131" s="11">
        <f>SUM(D110:D129)</f>
        <v>325218637.43401897</v>
      </c>
      <c r="E131" s="11">
        <f t="shared" ref="E131:M131" si="24">SUM(E110:E129)</f>
        <v>236436634.31075099</v>
      </c>
      <c r="F131" s="11">
        <f t="shared" si="24"/>
        <v>140135848.62555435</v>
      </c>
      <c r="G131" s="11">
        <f t="shared" si="24"/>
        <v>151593608.10711595</v>
      </c>
      <c r="H131" s="11">
        <f t="shared" si="24"/>
        <v>245982884.45981905</v>
      </c>
      <c r="I131" s="11">
        <f t="shared" si="24"/>
        <v>264469236.98713872</v>
      </c>
      <c r="J131" s="11">
        <f t="shared" si="24"/>
        <v>198460682.10490638</v>
      </c>
      <c r="K131" s="11">
        <f t="shared" si="24"/>
        <v>156016745.38080493</v>
      </c>
      <c r="L131" s="11">
        <f t="shared" si="24"/>
        <v>159306387.60288775</v>
      </c>
      <c r="M131" s="11">
        <f t="shared" si="24"/>
        <v>262171019.83627144</v>
      </c>
    </row>
  </sheetData>
  <mergeCells count="3">
    <mergeCell ref="D55:M55"/>
    <mergeCell ref="D74:M74"/>
    <mergeCell ref="D108:M108"/>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README</vt:lpstr>
      <vt:lpstr>Explanatory notes</vt:lpstr>
      <vt:lpstr>Boundary conditions</vt:lpstr>
      <vt:lpstr>RES Alternatives</vt:lpstr>
      <vt:lpstr>HelpSheet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2026-03-17T14:17:26Z</dcterms:created>
  <dcterms:modified xsi:type="dcterms:W3CDTF">2026-03-17T14:18:21Z</dcterms:modified>
  <cp:category/>
  <cp:contentStatus/>
</cp:coreProperties>
</file>